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056" yWindow="65496" windowWidth="25920" windowHeight="1552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2">'Sheet3'!$A$1:$AO$35</definedName>
  </definedNames>
  <calcPr fullCalcOnLoad="1"/>
</workbook>
</file>

<file path=xl/comments3.xml><?xml version="1.0" encoding="utf-8"?>
<comments xmlns="http://schemas.openxmlformats.org/spreadsheetml/2006/main">
  <authors>
    <author>Walter L. Ruzzo</author>
  </authors>
  <commentList>
    <comment ref="O7" authorId="0">
      <text>
        <r>
          <rPr>
            <b/>
            <sz val="14"/>
            <rFont val="Verdana"/>
            <family val="0"/>
          </rPr>
          <t>Walter L. Ruzzo:</t>
        </r>
        <r>
          <rPr>
            <sz val="14"/>
            <rFont val="Verdana"/>
            <family val="0"/>
          </rPr>
          <t xml:space="preserve">
a not-very successful attempt to re-orient verticaly to get more states &amp; show forward/backward side-by-side.  net is too wide, arrows unclear.  Maybe should go to a sumple table with cols for state1 emission/state 2 emission, state i contrib from j, max there of, viterbi T/F; sum thereof (fwd), ditto backward, posterior.  Probably do in logs.</t>
        </r>
      </text>
    </comment>
  </commentList>
</comments>
</file>

<file path=xl/comments5.xml><?xml version="1.0" encoding="utf-8"?>
<comments xmlns="http://schemas.openxmlformats.org/spreadsheetml/2006/main">
  <authors>
    <author>Walter L. Ruzzo</author>
  </authors>
  <commentList>
    <comment ref="O11" authorId="0">
      <text>
        <r>
          <rPr>
            <b/>
            <sz val="17"/>
            <rFont val="Verdana"/>
            <family val="0"/>
          </rPr>
          <t>Walter L. Ruzzo:</t>
        </r>
        <r>
          <rPr>
            <sz val="17"/>
            <rFont val="Verdana"/>
            <family val="0"/>
          </rPr>
          <t xml:space="preserve">
start at simpler column-oriented version as suggested in note on sheet 3</t>
        </r>
      </text>
    </comment>
  </commentList>
</comments>
</file>

<file path=xl/sharedStrings.xml><?xml version="1.0" encoding="utf-8"?>
<sst xmlns="http://schemas.openxmlformats.org/spreadsheetml/2006/main" count="539" uniqueCount="62">
  <si>
    <t>B</t>
  </si>
  <si>
    <t>Max</t>
  </si>
  <si>
    <t>p(6)</t>
  </si>
  <si>
    <t>F:</t>
  </si>
  <si>
    <t>L:</t>
  </si>
  <si>
    <t>B</t>
  </si>
  <si>
    <t>Previous</t>
  </si>
  <si>
    <t>Transition</t>
  </si>
  <si>
    <t>Emission</t>
  </si>
  <si>
    <t>Begin Transition</t>
  </si>
  <si>
    <t>Previous</t>
  </si>
  <si>
    <t>Viterbi Path:</t>
  </si>
  <si>
    <t>HMM Parameters</t>
  </si>
  <si>
    <t>p(F)/p(L):</t>
  </si>
  <si>
    <t>HMM Parameters</t>
  </si>
  <si>
    <t>Show Viterbi:</t>
  </si>
  <si>
    <t>Viterbi path is conditionally highlighted.  (It is NOT simply the max scoring state, e.g., see step 3.)</t>
  </si>
  <si>
    <t>Beware of bugs.</t>
  </si>
  <si>
    <t>Viterbi path is highlighted.  (It is NOT simply the max scoring state; "F" is more probable until last step, but B-&gt;L at start is cheaper than F-&gt;L later, so Viterbi favors all "L".)</t>
  </si>
  <si>
    <t>HMM Parameters</t>
  </si>
  <si>
    <t>vit</t>
  </si>
  <si>
    <t>5-1</t>
  </si>
  <si>
    <t>3-3</t>
  </si>
  <si>
    <t>p(F)/p(L):</t>
  </si>
  <si>
    <t>Viterbi==L?</t>
  </si>
  <si>
    <t>Illustration of HMM Viterbi algorithm.</t>
  </si>
  <si>
    <t>The "Casino" example from Durbin et al., Chapter 3, with different initial model parameters.</t>
  </si>
  <si>
    <t>emit</t>
  </si>
  <si>
    <t>from F</t>
  </si>
  <si>
    <t>from L</t>
  </si>
  <si>
    <t>sum</t>
  </si>
  <si>
    <t>Illustration of HMM Viterbi algorithm.</t>
  </si>
  <si>
    <t>The "Casino" example from Durbin et al., Chapter 3, with different initial model parameters.</t>
  </si>
  <si>
    <t>Viterbi path is highlighted.  (It is NOT simply the max scoring state; "F" is more probable until last step, but B-&gt;L at start is cheaper than F-&gt;L later, so Viterbi favors all "L".)</t>
  </si>
  <si>
    <t>Adjust cells with green background &amp; watch what happens.</t>
  </si>
  <si>
    <t>Beware of bugs.</t>
  </si>
  <si>
    <t>log of HMM params</t>
  </si>
  <si>
    <t>p(!6)</t>
  </si>
  <si>
    <t>Viterbi==L?</t>
  </si>
  <si>
    <t>Rolls:</t>
  </si>
  <si>
    <t>1111166666</t>
  </si>
  <si>
    <t>forward</t>
  </si>
  <si>
    <t>max</t>
  </si>
  <si>
    <t>Viterbi path is highlighted.  (It is NOT simply the max scoring state; "F" is more probable until last step, but B-&gt;L at start is cheaper than F-&gt;L later, so Viterbi favors all "L".)</t>
  </si>
  <si>
    <t>Adjust cells with green background &amp; watch what happens.</t>
  </si>
  <si>
    <t>Beware of bugs.</t>
  </si>
  <si>
    <t>=&gt;</t>
  </si>
  <si>
    <t>&lt;=</t>
  </si>
  <si>
    <t xml:space="preserve"> </t>
  </si>
  <si>
    <t xml:space="preserve"> </t>
  </si>
  <si>
    <t>Rolls:</t>
  </si>
  <si>
    <t>1111166666</t>
  </si>
  <si>
    <t>BEGIN</t>
  </si>
  <si>
    <t>Adjust cells with green background &amp; watch what happens.</t>
  </si>
  <si>
    <t>Beware of bugs.</t>
  </si>
  <si>
    <t>The "Casino" example from Durbin et al., Chapter 3, with different initial model parameters.</t>
  </si>
  <si>
    <t>Illustration of HMM Viterbi algorithm.</t>
  </si>
  <si>
    <t>Rolls:</t>
  </si>
  <si>
    <t>x</t>
  </si>
  <si>
    <t>=</t>
  </si>
  <si>
    <t>L</t>
  </si>
  <si>
    <t>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</si>
</sst>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m/d/yyyy"/>
    <numFmt numFmtId="174" formatCode="0.000E+0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8"/>
      <name val="Verdana"/>
      <family val="0"/>
    </font>
    <font>
      <sz val="8"/>
      <name val="Verdana"/>
      <family val="0"/>
    </font>
    <font>
      <sz val="14"/>
      <name val="Verdana"/>
      <family val="0"/>
    </font>
    <font>
      <sz val="24"/>
      <name val="Verdana"/>
      <family val="0"/>
    </font>
    <font>
      <sz val="28"/>
      <name val="Verdana"/>
      <family val="0"/>
    </font>
    <font>
      <sz val="30"/>
      <name val="Verdana"/>
      <family val="0"/>
    </font>
    <font>
      <b/>
      <sz val="36"/>
      <name val="Verdana"/>
      <family val="0"/>
    </font>
    <font>
      <sz val="20"/>
      <name val="Verdana"/>
      <family val="0"/>
    </font>
    <font>
      <sz val="12"/>
      <name val="Verdana"/>
      <family val="0"/>
    </font>
    <font>
      <b/>
      <sz val="14"/>
      <name val="Verdana"/>
      <family val="0"/>
    </font>
    <font>
      <b/>
      <sz val="17"/>
      <name val="Verdana"/>
      <family val="0"/>
    </font>
    <font>
      <sz val="17"/>
      <name val="Verdana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170" fontId="6" fillId="0" borderId="3" xfId="0" applyNumberFormat="1" applyFont="1" applyBorder="1" applyAlignment="1">
      <alignment horizontal="left"/>
    </xf>
    <xf numFmtId="170" fontId="6" fillId="0" borderId="5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71" fontId="6" fillId="0" borderId="1" xfId="0" applyNumberFormat="1" applyFont="1" applyBorder="1" applyAlignment="1">
      <alignment horizontal="left"/>
    </xf>
    <xf numFmtId="170" fontId="6" fillId="0" borderId="0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5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6" fillId="0" borderId="6" xfId="0" applyNumberFormat="1" applyFont="1" applyBorder="1" applyAlignment="1">
      <alignment horizontal="left"/>
    </xf>
    <xf numFmtId="170" fontId="6" fillId="0" borderId="7" xfId="0" applyNumberFormat="1" applyFont="1" applyBorder="1" applyAlignment="1">
      <alignment horizontal="left"/>
    </xf>
    <xf numFmtId="170" fontId="6" fillId="0" borderId="8" xfId="0" applyNumberFormat="1" applyFont="1" applyBorder="1" applyAlignment="1">
      <alignment horizontal="left"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171" fontId="6" fillId="0" borderId="0" xfId="0" applyNumberFormat="1" applyFont="1" applyAlignment="1">
      <alignment/>
    </xf>
    <xf numFmtId="171" fontId="6" fillId="0" borderId="0" xfId="0" applyNumberFormat="1" applyFont="1" applyAlignment="1">
      <alignment horizontal="left"/>
    </xf>
    <xf numFmtId="171" fontId="6" fillId="0" borderId="2" xfId="0" applyNumberFormat="1" applyFont="1" applyBorder="1" applyAlignment="1">
      <alignment horizontal="left"/>
    </xf>
    <xf numFmtId="171" fontId="6" fillId="0" borderId="4" xfId="0" applyNumberFormat="1" applyFont="1" applyBorder="1" applyAlignment="1">
      <alignment horizontal="left"/>
    </xf>
    <xf numFmtId="171" fontId="6" fillId="0" borderId="1" xfId="0" applyNumberFormat="1" applyFont="1" applyBorder="1" applyAlignment="1">
      <alignment horizontal="left"/>
    </xf>
    <xf numFmtId="171" fontId="6" fillId="0" borderId="0" xfId="0" applyNumberFormat="1" applyFont="1" applyBorder="1" applyAlignment="1">
      <alignment horizontal="left"/>
    </xf>
    <xf numFmtId="171" fontId="8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/>
    </xf>
    <xf numFmtId="171" fontId="6" fillId="0" borderId="7" xfId="0" applyNumberFormat="1" applyFont="1" applyBorder="1" applyAlignment="1">
      <alignment horizontal="left"/>
    </xf>
    <xf numFmtId="170" fontId="6" fillId="0" borderId="6" xfId="0" applyNumberFormat="1" applyFont="1" applyBorder="1" applyAlignment="1">
      <alignment horizontal="left"/>
    </xf>
    <xf numFmtId="170" fontId="6" fillId="0" borderId="7" xfId="0" applyNumberFormat="1" applyFont="1" applyBorder="1" applyAlignment="1">
      <alignment horizontal="left"/>
    </xf>
    <xf numFmtId="170" fontId="6" fillId="0" borderId="8" xfId="0" applyNumberFormat="1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NumberFormat="1" applyFont="1" applyAlignment="1">
      <alignment/>
    </xf>
    <xf numFmtId="11" fontId="6" fillId="0" borderId="0" xfId="0" applyNumberFormat="1" applyFont="1" applyAlignment="1">
      <alignment/>
    </xf>
    <xf numFmtId="11" fontId="6" fillId="0" borderId="6" xfId="0" applyNumberFormat="1" applyFont="1" applyBorder="1" applyAlignment="1">
      <alignment horizontal="left"/>
    </xf>
    <xf numFmtId="11" fontId="6" fillId="0" borderId="7" xfId="0" applyNumberFormat="1" applyFont="1" applyBorder="1" applyAlignment="1">
      <alignment horizontal="left"/>
    </xf>
    <xf numFmtId="11" fontId="6" fillId="0" borderId="8" xfId="0" applyNumberFormat="1" applyFont="1" applyBorder="1" applyAlignment="1">
      <alignment horizontal="left"/>
    </xf>
    <xf numFmtId="11" fontId="6" fillId="0" borderId="0" xfId="0" applyNumberFormat="1" applyFont="1" applyBorder="1" applyAlignment="1">
      <alignment/>
    </xf>
    <xf numFmtId="11" fontId="6" fillId="0" borderId="2" xfId="0" applyNumberFormat="1" applyFont="1" applyBorder="1" applyAlignment="1">
      <alignment horizontal="left"/>
    </xf>
    <xf numFmtId="11" fontId="6" fillId="0" borderId="4" xfId="0" applyNumberFormat="1" applyFont="1" applyBorder="1" applyAlignment="1">
      <alignment horizontal="left"/>
    </xf>
    <xf numFmtId="11" fontId="6" fillId="0" borderId="1" xfId="0" applyNumberFormat="1" applyFont="1" applyBorder="1" applyAlignment="1">
      <alignment horizontal="left"/>
    </xf>
    <xf numFmtId="11" fontId="6" fillId="0" borderId="0" xfId="0" applyNumberFormat="1" applyFont="1" applyBorder="1" applyAlignment="1">
      <alignment horizontal="left"/>
    </xf>
    <xf numFmtId="11" fontId="8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171" fontId="6" fillId="0" borderId="2" xfId="0" applyNumberFormat="1" applyFont="1" applyBorder="1" applyAlignment="1">
      <alignment horizontal="left"/>
    </xf>
    <xf numFmtId="171" fontId="6" fillId="0" borderId="4" xfId="0" applyNumberFormat="1" applyFont="1" applyBorder="1" applyAlignment="1">
      <alignment horizontal="left"/>
    </xf>
    <xf numFmtId="171" fontId="6" fillId="0" borderId="1" xfId="0" applyNumberFormat="1" applyFont="1" applyBorder="1" applyAlignment="1">
      <alignment horizontal="left"/>
    </xf>
    <xf numFmtId="170" fontId="6" fillId="0" borderId="2" xfId="0" applyNumberFormat="1" applyFont="1" applyBorder="1" applyAlignment="1">
      <alignment horizontal="left"/>
    </xf>
    <xf numFmtId="170" fontId="6" fillId="0" borderId="4" xfId="0" applyNumberFormat="1" applyFont="1" applyBorder="1" applyAlignment="1">
      <alignment horizontal="left"/>
    </xf>
    <xf numFmtId="170" fontId="6" fillId="0" borderId="1" xfId="0" applyNumberFormat="1" applyFont="1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4" xfId="0" applyFont="1" applyBorder="1" applyAlignment="1">
      <alignment/>
    </xf>
    <xf numFmtId="2" fontId="10" fillId="2" borderId="13" xfId="0" applyNumberFormat="1" applyFont="1" applyFill="1" applyBorder="1" applyAlignment="1">
      <alignment/>
    </xf>
    <xf numFmtId="2" fontId="10" fillId="0" borderId="7" xfId="0" applyNumberFormat="1" applyFont="1" applyBorder="1" applyAlignment="1">
      <alignment horizontal="left"/>
    </xf>
    <xf numFmtId="0" fontId="10" fillId="3" borderId="14" xfId="0" applyFont="1" applyFill="1" applyBorder="1" applyAlignment="1">
      <alignment horizontal="left"/>
    </xf>
    <xf numFmtId="2" fontId="10" fillId="2" borderId="14" xfId="0" applyNumberFormat="1" applyFont="1" applyFill="1" applyBorder="1" applyAlignment="1">
      <alignment horizontal="left"/>
    </xf>
    <xf numFmtId="0" fontId="10" fillId="0" borderId="1" xfId="0" applyFont="1" applyBorder="1" applyAlignment="1">
      <alignment/>
    </xf>
    <xf numFmtId="2" fontId="10" fillId="2" borderId="15" xfId="0" applyNumberFormat="1" applyFont="1" applyFill="1" applyBorder="1" applyAlignment="1">
      <alignment/>
    </xf>
    <xf numFmtId="2" fontId="10" fillId="0" borderId="8" xfId="0" applyNumberFormat="1" applyFont="1" applyBorder="1" applyAlignment="1">
      <alignment horizontal="left"/>
    </xf>
    <xf numFmtId="2" fontId="10" fillId="2" borderId="16" xfId="0" applyNumberFormat="1" applyFont="1" applyFill="1" applyBorder="1" applyAlignment="1">
      <alignment horizontal="left"/>
    </xf>
    <xf numFmtId="171" fontId="6" fillId="0" borderId="7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171" fontId="11" fillId="0" borderId="0" xfId="0" applyNumberFormat="1" applyFont="1" applyAlignment="1">
      <alignment horizontal="center" vertical="center"/>
    </xf>
    <xf numFmtId="1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70" fontId="6" fillId="0" borderId="0" xfId="0" applyNumberFormat="1" applyFont="1" applyAlignment="1" quotePrefix="1">
      <alignment/>
    </xf>
    <xf numFmtId="11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11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11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left"/>
    </xf>
    <xf numFmtId="2" fontId="14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1" fontId="0" fillId="0" borderId="0" xfId="0" applyNumberFormat="1" applyFont="1" applyBorder="1" applyAlignment="1">
      <alignment horizontal="left"/>
    </xf>
    <xf numFmtId="1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Border="1" applyAlignment="1" quotePrefix="1">
      <alignment horizontal="left"/>
    </xf>
    <xf numFmtId="2" fontId="0" fillId="0" borderId="18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11" fontId="1" fillId="0" borderId="0" xfId="0" applyNumberFormat="1" applyFont="1" applyBorder="1" applyAlignment="1">
      <alignment/>
    </xf>
    <xf numFmtId="0" fontId="0" fillId="0" borderId="0" xfId="0" applyFont="1" applyAlignment="1">
      <alignment horizontal="left" vertical="center"/>
    </xf>
    <xf numFmtId="11" fontId="0" fillId="0" borderId="19" xfId="0" applyNumberFormat="1" applyFont="1" applyBorder="1" applyAlignment="1">
      <alignment vertical="center"/>
    </xf>
    <xf numFmtId="2" fontId="0" fillId="0" borderId="20" xfId="0" applyNumberFormat="1" applyFont="1" applyBorder="1" applyAlignment="1">
      <alignment horizontal="left" vertical="center"/>
    </xf>
    <xf numFmtId="2" fontId="0" fillId="0" borderId="20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2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 quotePrefix="1">
      <alignment horizontal="left" vertical="center"/>
    </xf>
    <xf numFmtId="11" fontId="0" fillId="0" borderId="20" xfId="0" applyNumberFormat="1" applyFont="1" applyBorder="1" applyAlignment="1">
      <alignment horizontal="left" vertical="center"/>
    </xf>
    <xf numFmtId="11" fontId="1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1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11" fontId="0" fillId="0" borderId="2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11" fontId="0" fillId="0" borderId="19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11" fontId="0" fillId="0" borderId="20" xfId="0" applyNumberFormat="1" applyFont="1" applyBorder="1" applyAlignment="1">
      <alignment horizontal="right" vertical="center"/>
    </xf>
    <xf numFmtId="11" fontId="0" fillId="0" borderId="20" xfId="0" applyNumberFormat="1" applyFont="1" applyBorder="1" applyAlignment="1">
      <alignment vertical="center"/>
    </xf>
    <xf numFmtId="11" fontId="0" fillId="0" borderId="2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4" xfId="0" applyFont="1" applyBorder="1" applyAlignment="1">
      <alignment/>
    </xf>
    <xf numFmtId="2" fontId="8" fillId="2" borderId="13" xfId="0" applyNumberFormat="1" applyFont="1" applyFill="1" applyBorder="1" applyAlignment="1">
      <alignment/>
    </xf>
    <xf numFmtId="2" fontId="8" fillId="0" borderId="7" xfId="0" applyNumberFormat="1" applyFont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2" fontId="8" fillId="2" borderId="14" xfId="0" applyNumberFormat="1" applyFont="1" applyFill="1" applyBorder="1" applyAlignment="1">
      <alignment horizontal="left"/>
    </xf>
    <xf numFmtId="0" fontId="8" fillId="0" borderId="1" xfId="0" applyFont="1" applyBorder="1" applyAlignment="1">
      <alignment/>
    </xf>
    <xf numFmtId="2" fontId="8" fillId="2" borderId="15" xfId="0" applyNumberFormat="1" applyFont="1" applyFill="1" applyBorder="1" applyAlignment="1">
      <alignment/>
    </xf>
    <xf numFmtId="2" fontId="8" fillId="0" borderId="8" xfId="0" applyNumberFormat="1" applyFont="1" applyBorder="1" applyAlignment="1">
      <alignment horizontal="left"/>
    </xf>
    <xf numFmtId="2" fontId="8" fillId="2" borderId="16" xfId="0" applyNumberFormat="1" applyFont="1" applyFill="1" applyBorder="1" applyAlignment="1">
      <alignment horizontal="left"/>
    </xf>
    <xf numFmtId="0" fontId="0" fillId="0" borderId="25" xfId="0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1" fontId="0" fillId="0" borderId="0" xfId="0" applyNumberFormat="1" applyFont="1" applyFill="1" applyBorder="1" applyAlignment="1">
      <alignment vertical="center"/>
    </xf>
    <xf numFmtId="11" fontId="1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" xfId="0" applyFont="1" applyBorder="1" applyAlignment="1">
      <alignment/>
    </xf>
    <xf numFmtId="2" fontId="0" fillId="2" borderId="13" xfId="0" applyNumberFormat="1" applyFont="1" applyFill="1" applyBorder="1" applyAlignment="1">
      <alignment/>
    </xf>
    <xf numFmtId="2" fontId="0" fillId="0" borderId="7" xfId="0" applyNumberFormat="1" applyFont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2" borderId="14" xfId="0" applyNumberFormat="1" applyFont="1" applyFill="1" applyBorder="1" applyAlignment="1">
      <alignment horizontal="left"/>
    </xf>
    <xf numFmtId="0" fontId="0" fillId="0" borderId="1" xfId="0" applyFont="1" applyBorder="1" applyAlignment="1">
      <alignment/>
    </xf>
    <xf numFmtId="2" fontId="0" fillId="2" borderId="15" xfId="0" applyNumberFormat="1" applyFont="1" applyFill="1" applyBorder="1" applyAlignment="1">
      <alignment/>
    </xf>
    <xf numFmtId="2" fontId="0" fillId="0" borderId="8" xfId="0" applyNumberFormat="1" applyFont="1" applyBorder="1" applyAlignment="1">
      <alignment horizontal="left"/>
    </xf>
    <xf numFmtId="2" fontId="0" fillId="2" borderId="16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2" fontId="0" fillId="0" borderId="27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/>
    </xf>
    <xf numFmtId="0" fontId="1" fillId="0" borderId="1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left"/>
    </xf>
    <xf numFmtId="2" fontId="0" fillId="0" borderId="27" xfId="0" applyNumberFormat="1" applyFont="1" applyBorder="1" applyAlignment="1">
      <alignment horizontal="left"/>
    </xf>
    <xf numFmtId="2" fontId="0" fillId="0" borderId="0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1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0" xfId="0" applyFont="1" applyFill="1" applyAlignment="1" quotePrefix="1">
      <alignment horizontal="left" vertical="center"/>
    </xf>
    <xf numFmtId="0" fontId="0" fillId="0" borderId="0" xfId="0" applyAlignment="1">
      <alignment horizontal="left"/>
    </xf>
    <xf numFmtId="0" fontId="1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0" xfId="0" applyFont="1" applyFill="1" applyAlignment="1" quotePrefix="1">
      <alignment horizontal="left" vertical="center"/>
    </xf>
    <xf numFmtId="0" fontId="0" fillId="0" borderId="0" xfId="0" applyFont="1" applyAlignment="1">
      <alignment horizontal="left"/>
    </xf>
    <xf numFmtId="2" fontId="0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0" xfId="0" applyNumberFormat="1" applyFont="1" applyAlignment="1">
      <alignment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514350</xdr:colOff>
      <xdr:row>17</xdr:row>
      <xdr:rowOff>200025</xdr:rowOff>
    </xdr:from>
    <xdr:to>
      <xdr:col>14</xdr:col>
      <xdr:colOff>523875</xdr:colOff>
      <xdr:row>17</xdr:row>
      <xdr:rowOff>219075</xdr:rowOff>
    </xdr:to>
    <xdr:sp>
      <xdr:nvSpPr>
        <xdr:cNvPr id="1" name="Line 5"/>
        <xdr:cNvSpPr>
          <a:spLocks/>
        </xdr:cNvSpPr>
      </xdr:nvSpPr>
      <xdr:spPr>
        <a:xfrm flipH="1" flipV="1">
          <a:off x="7886700" y="6391275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114300</xdr:rowOff>
    </xdr:from>
    <xdr:to>
      <xdr:col>3</xdr:col>
      <xdr:colOff>142875</xdr:colOff>
      <xdr:row>29</xdr:row>
      <xdr:rowOff>95250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0050" y="5067300"/>
          <a:ext cx="1895475" cy="4648200"/>
        </a:xfrm>
        <a:prstGeom prst="rect">
          <a:avLst/>
        </a:prstGeom>
        <a:solidFill>
          <a:srgbClr val="FFFF99">
            <a:alpha val="80000"/>
          </a:srgbClr>
        </a:solidFill>
        <a:ln w="25400" cmpd="sng">
          <a:noFill/>
        </a:ln>
      </xdr:spPr>
    </xdr:pic>
    <xdr:clientData/>
  </xdr:twoCellAnchor>
  <xdr:twoCellAnchor>
    <xdr:from>
      <xdr:col>6</xdr:col>
      <xdr:colOff>523875</xdr:colOff>
      <xdr:row>17</xdr:row>
      <xdr:rowOff>123825</xdr:rowOff>
    </xdr:from>
    <xdr:to>
      <xdr:col>7</xdr:col>
      <xdr:colOff>504825</xdr:colOff>
      <xdr:row>17</xdr:row>
      <xdr:rowOff>123825</xdr:rowOff>
    </xdr:to>
    <xdr:sp>
      <xdr:nvSpPr>
        <xdr:cNvPr id="3" name="Straight Arrow Connector 4"/>
        <xdr:cNvSpPr>
          <a:spLocks/>
        </xdr:cNvSpPr>
      </xdr:nvSpPr>
      <xdr:spPr>
        <a:xfrm>
          <a:off x="4629150" y="6315075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561975</xdr:colOff>
      <xdr:row>24</xdr:row>
      <xdr:rowOff>133350</xdr:rowOff>
    </xdr:from>
    <xdr:to>
      <xdr:col>7</xdr:col>
      <xdr:colOff>504825</xdr:colOff>
      <xdr:row>24</xdr:row>
      <xdr:rowOff>133350</xdr:rowOff>
    </xdr:to>
    <xdr:sp>
      <xdr:nvSpPr>
        <xdr:cNvPr id="4" name="Straight Arrow Connector 5"/>
        <xdr:cNvSpPr>
          <a:spLocks/>
        </xdr:cNvSpPr>
      </xdr:nvSpPr>
      <xdr:spPr>
        <a:xfrm>
          <a:off x="4667250" y="832485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752475</xdr:colOff>
      <xdr:row>15</xdr:row>
      <xdr:rowOff>276225</xdr:rowOff>
    </xdr:from>
    <xdr:to>
      <xdr:col>15</xdr:col>
      <xdr:colOff>495300</xdr:colOff>
      <xdr:row>17</xdr:row>
      <xdr:rowOff>133350</xdr:rowOff>
    </xdr:to>
    <xdr:sp>
      <xdr:nvSpPr>
        <xdr:cNvPr id="5" name="Straight Arrow Connector 6"/>
        <xdr:cNvSpPr>
          <a:spLocks/>
        </xdr:cNvSpPr>
      </xdr:nvSpPr>
      <xdr:spPr>
        <a:xfrm flipV="1">
          <a:off x="8124825" y="5895975"/>
          <a:ext cx="49530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752475</xdr:colOff>
      <xdr:row>24</xdr:row>
      <xdr:rowOff>123825</xdr:rowOff>
    </xdr:from>
    <xdr:to>
      <xdr:col>15</xdr:col>
      <xdr:colOff>504825</xdr:colOff>
      <xdr:row>26</xdr:row>
      <xdr:rowOff>123825</xdr:rowOff>
    </xdr:to>
    <xdr:sp>
      <xdr:nvSpPr>
        <xdr:cNvPr id="6" name="Straight Arrow Connector 7"/>
        <xdr:cNvSpPr>
          <a:spLocks/>
        </xdr:cNvSpPr>
      </xdr:nvSpPr>
      <xdr:spPr>
        <a:xfrm>
          <a:off x="8124825" y="8315325"/>
          <a:ext cx="504825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22</xdr:col>
      <xdr:colOff>904875</xdr:colOff>
      <xdr:row>15</xdr:row>
      <xdr:rowOff>161925</xdr:rowOff>
    </xdr:from>
    <xdr:to>
      <xdr:col>23</xdr:col>
      <xdr:colOff>514350</xdr:colOff>
      <xdr:row>17</xdr:row>
      <xdr:rowOff>152400</xdr:rowOff>
    </xdr:to>
    <xdr:sp>
      <xdr:nvSpPr>
        <xdr:cNvPr id="7" name="Straight Arrow Connector 8"/>
        <xdr:cNvSpPr>
          <a:spLocks/>
        </xdr:cNvSpPr>
      </xdr:nvSpPr>
      <xdr:spPr>
        <a:xfrm flipV="1">
          <a:off x="12430125" y="5781675"/>
          <a:ext cx="514350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133350</xdr:rowOff>
    </xdr:from>
    <xdr:to>
      <xdr:col>23</xdr:col>
      <xdr:colOff>504825</xdr:colOff>
      <xdr:row>26</xdr:row>
      <xdr:rowOff>161925</xdr:rowOff>
    </xdr:to>
    <xdr:sp>
      <xdr:nvSpPr>
        <xdr:cNvPr id="8" name="Straight Arrow Connector 9"/>
        <xdr:cNvSpPr>
          <a:spLocks/>
        </xdr:cNvSpPr>
      </xdr:nvSpPr>
      <xdr:spPr>
        <a:xfrm>
          <a:off x="12430125" y="8324850"/>
          <a:ext cx="504825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752475</xdr:colOff>
      <xdr:row>17</xdr:row>
      <xdr:rowOff>152400</xdr:rowOff>
    </xdr:from>
    <xdr:to>
      <xdr:col>15</xdr:col>
      <xdr:colOff>504825</xdr:colOff>
      <xdr:row>22</xdr:row>
      <xdr:rowOff>114300</xdr:rowOff>
    </xdr:to>
    <xdr:sp>
      <xdr:nvSpPr>
        <xdr:cNvPr id="9" name="Straight Arrow Connector 10"/>
        <xdr:cNvSpPr>
          <a:spLocks/>
        </xdr:cNvSpPr>
      </xdr:nvSpPr>
      <xdr:spPr>
        <a:xfrm rot="16200000" flipH="1">
          <a:off x="8124825" y="6343650"/>
          <a:ext cx="504825" cy="1390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22</xdr:col>
      <xdr:colOff>895350</xdr:colOff>
      <xdr:row>17</xdr:row>
      <xdr:rowOff>152400</xdr:rowOff>
    </xdr:from>
    <xdr:to>
      <xdr:col>23</xdr:col>
      <xdr:colOff>514350</xdr:colOff>
      <xdr:row>22</xdr:row>
      <xdr:rowOff>152400</xdr:rowOff>
    </xdr:to>
    <xdr:sp>
      <xdr:nvSpPr>
        <xdr:cNvPr id="10" name="Straight Arrow Connector 13"/>
        <xdr:cNvSpPr>
          <a:spLocks/>
        </xdr:cNvSpPr>
      </xdr:nvSpPr>
      <xdr:spPr>
        <a:xfrm rot="16200000" flipH="1">
          <a:off x="12420600" y="6343650"/>
          <a:ext cx="523875" cy="1428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752475</xdr:colOff>
      <xdr:row>19</xdr:row>
      <xdr:rowOff>152400</xdr:rowOff>
    </xdr:from>
    <xdr:to>
      <xdr:col>15</xdr:col>
      <xdr:colOff>504825</xdr:colOff>
      <xdr:row>24</xdr:row>
      <xdr:rowOff>123825</xdr:rowOff>
    </xdr:to>
    <xdr:sp>
      <xdr:nvSpPr>
        <xdr:cNvPr id="11" name="Straight Arrow Connector 16"/>
        <xdr:cNvSpPr>
          <a:spLocks/>
        </xdr:cNvSpPr>
      </xdr:nvSpPr>
      <xdr:spPr>
        <a:xfrm rot="5400000" flipH="1" flipV="1">
          <a:off x="8124825" y="6915150"/>
          <a:ext cx="504825" cy="1400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22</xdr:col>
      <xdr:colOff>895350</xdr:colOff>
      <xdr:row>19</xdr:row>
      <xdr:rowOff>190500</xdr:rowOff>
    </xdr:from>
    <xdr:to>
      <xdr:col>23</xdr:col>
      <xdr:colOff>495300</xdr:colOff>
      <xdr:row>24</xdr:row>
      <xdr:rowOff>123825</xdr:rowOff>
    </xdr:to>
    <xdr:sp>
      <xdr:nvSpPr>
        <xdr:cNvPr id="12" name="Straight Arrow Connector 19"/>
        <xdr:cNvSpPr>
          <a:spLocks/>
        </xdr:cNvSpPr>
      </xdr:nvSpPr>
      <xdr:spPr>
        <a:xfrm rot="5400000" flipH="1" flipV="1">
          <a:off x="12420600" y="6953250"/>
          <a:ext cx="504825" cy="1362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533400</xdr:colOff>
      <xdr:row>18</xdr:row>
      <xdr:rowOff>47625</xdr:rowOff>
    </xdr:from>
    <xdr:to>
      <xdr:col>6</xdr:col>
      <xdr:colOff>76200</xdr:colOff>
      <xdr:row>20</xdr:row>
      <xdr:rowOff>285750</xdr:rowOff>
    </xdr:to>
    <xdr:sp>
      <xdr:nvSpPr>
        <xdr:cNvPr id="13" name="Straight Arrow Connector 28"/>
        <xdr:cNvSpPr>
          <a:spLocks/>
        </xdr:cNvSpPr>
      </xdr:nvSpPr>
      <xdr:spPr>
        <a:xfrm rot="5400000" flipH="1" flipV="1">
          <a:off x="3571875" y="6524625"/>
          <a:ext cx="60960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533400</xdr:colOff>
      <xdr:row>21</xdr:row>
      <xdr:rowOff>0</xdr:rowOff>
    </xdr:from>
    <xdr:to>
      <xdr:col>6</xdr:col>
      <xdr:colOff>57150</xdr:colOff>
      <xdr:row>23</xdr:row>
      <xdr:rowOff>219075</xdr:rowOff>
    </xdr:to>
    <xdr:sp>
      <xdr:nvSpPr>
        <xdr:cNvPr id="14" name="Straight Arrow Connector 31"/>
        <xdr:cNvSpPr>
          <a:spLocks/>
        </xdr:cNvSpPr>
      </xdr:nvSpPr>
      <xdr:spPr>
        <a:xfrm rot="16200000" flipH="1">
          <a:off x="3571875" y="7334250"/>
          <a:ext cx="590550" cy="790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9525</xdr:colOff>
      <xdr:row>15</xdr:row>
      <xdr:rowOff>161925</xdr:rowOff>
    </xdr:from>
    <xdr:to>
      <xdr:col>31</xdr:col>
      <xdr:colOff>523875</xdr:colOff>
      <xdr:row>17</xdr:row>
      <xdr:rowOff>161925</xdr:rowOff>
    </xdr:to>
    <xdr:sp>
      <xdr:nvSpPr>
        <xdr:cNvPr id="15" name="Straight Arrow Connector 43"/>
        <xdr:cNvSpPr>
          <a:spLocks/>
        </xdr:cNvSpPr>
      </xdr:nvSpPr>
      <xdr:spPr>
        <a:xfrm flipV="1">
          <a:off x="17011650" y="5781675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9525</xdr:colOff>
      <xdr:row>24</xdr:row>
      <xdr:rowOff>133350</xdr:rowOff>
    </xdr:from>
    <xdr:to>
      <xdr:col>31</xdr:col>
      <xdr:colOff>523875</xdr:colOff>
      <xdr:row>26</xdr:row>
      <xdr:rowOff>133350</xdr:rowOff>
    </xdr:to>
    <xdr:sp>
      <xdr:nvSpPr>
        <xdr:cNvPr id="16" name="Straight Arrow Connector 44"/>
        <xdr:cNvSpPr>
          <a:spLocks/>
        </xdr:cNvSpPr>
      </xdr:nvSpPr>
      <xdr:spPr>
        <a:xfrm>
          <a:off x="17011650" y="8324850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9525</xdr:colOff>
      <xdr:row>17</xdr:row>
      <xdr:rowOff>161925</xdr:rowOff>
    </xdr:from>
    <xdr:to>
      <xdr:col>31</xdr:col>
      <xdr:colOff>523875</xdr:colOff>
      <xdr:row>22</xdr:row>
      <xdr:rowOff>123825</xdr:rowOff>
    </xdr:to>
    <xdr:sp>
      <xdr:nvSpPr>
        <xdr:cNvPr id="17" name="Straight Arrow Connector 45"/>
        <xdr:cNvSpPr>
          <a:spLocks/>
        </xdr:cNvSpPr>
      </xdr:nvSpPr>
      <xdr:spPr>
        <a:xfrm rot="16200000" flipH="1">
          <a:off x="17011650" y="6353175"/>
          <a:ext cx="514350" cy="1390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9525</xdr:colOff>
      <xdr:row>19</xdr:row>
      <xdr:rowOff>161925</xdr:rowOff>
    </xdr:from>
    <xdr:to>
      <xdr:col>31</xdr:col>
      <xdr:colOff>523875</xdr:colOff>
      <xdr:row>24</xdr:row>
      <xdr:rowOff>133350</xdr:rowOff>
    </xdr:to>
    <xdr:sp>
      <xdr:nvSpPr>
        <xdr:cNvPr id="18" name="Straight Arrow Connector 46"/>
        <xdr:cNvSpPr>
          <a:spLocks/>
        </xdr:cNvSpPr>
      </xdr:nvSpPr>
      <xdr:spPr>
        <a:xfrm rot="5400000" flipH="1" flipV="1">
          <a:off x="17011650" y="6924675"/>
          <a:ext cx="514350" cy="1400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16</xdr:col>
      <xdr:colOff>514350</xdr:colOff>
      <xdr:row>27</xdr:row>
      <xdr:rowOff>9525</xdr:rowOff>
    </xdr:from>
    <xdr:to>
      <xdr:col>16</xdr:col>
      <xdr:colOff>514350</xdr:colOff>
      <xdr:row>28</xdr:row>
      <xdr:rowOff>0</xdr:rowOff>
    </xdr:to>
    <xdr:sp>
      <xdr:nvSpPr>
        <xdr:cNvPr id="19" name="Straight Arrow Connector 50"/>
        <xdr:cNvSpPr>
          <a:spLocks/>
        </xdr:cNvSpPr>
      </xdr:nvSpPr>
      <xdr:spPr>
        <a:xfrm rot="5400000" flipH="1" flipV="1">
          <a:off x="9163050" y="9058275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247650</xdr:colOff>
      <xdr:row>27</xdr:row>
      <xdr:rowOff>0</xdr:rowOff>
    </xdr:from>
    <xdr:to>
      <xdr:col>18</xdr:col>
      <xdr:colOff>247650</xdr:colOff>
      <xdr:row>27</xdr:row>
      <xdr:rowOff>285750</xdr:rowOff>
    </xdr:to>
    <xdr:sp>
      <xdr:nvSpPr>
        <xdr:cNvPr id="20" name="Straight Arrow Connector 51"/>
        <xdr:cNvSpPr>
          <a:spLocks/>
        </xdr:cNvSpPr>
      </xdr:nvSpPr>
      <xdr:spPr>
        <a:xfrm rot="5400000" flipH="1" flipV="1">
          <a:off x="9944100" y="9048750"/>
          <a:ext cx="0" cy="28575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20</xdr:col>
      <xdr:colOff>247650</xdr:colOff>
      <xdr:row>26</xdr:row>
      <xdr:rowOff>285750</xdr:rowOff>
    </xdr:from>
    <xdr:to>
      <xdr:col>20</xdr:col>
      <xdr:colOff>247650</xdr:colOff>
      <xdr:row>27</xdr:row>
      <xdr:rowOff>276225</xdr:rowOff>
    </xdr:to>
    <xdr:sp>
      <xdr:nvSpPr>
        <xdr:cNvPr id="21" name="Straight Arrow Connector 52"/>
        <xdr:cNvSpPr>
          <a:spLocks/>
        </xdr:cNvSpPr>
      </xdr:nvSpPr>
      <xdr:spPr>
        <a:xfrm rot="5400000" flipH="1" flipV="1">
          <a:off x="10829925" y="90487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447675</xdr:colOff>
      <xdr:row>27</xdr:row>
      <xdr:rowOff>28575</xdr:rowOff>
    </xdr:from>
    <xdr:to>
      <xdr:col>24</xdr:col>
      <xdr:colOff>447675</xdr:colOff>
      <xdr:row>28</xdr:row>
      <xdr:rowOff>9525</xdr:rowOff>
    </xdr:to>
    <xdr:sp>
      <xdr:nvSpPr>
        <xdr:cNvPr id="22" name="Straight Arrow Connector 55"/>
        <xdr:cNvSpPr>
          <a:spLocks/>
        </xdr:cNvSpPr>
      </xdr:nvSpPr>
      <xdr:spPr>
        <a:xfrm rot="5400000" flipH="1" flipV="1">
          <a:off x="13401675" y="9077325"/>
          <a:ext cx="0" cy="26670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26</xdr:col>
      <xdr:colOff>333375</xdr:colOff>
      <xdr:row>27</xdr:row>
      <xdr:rowOff>9525</xdr:rowOff>
    </xdr:from>
    <xdr:to>
      <xdr:col>26</xdr:col>
      <xdr:colOff>333375</xdr:colOff>
      <xdr:row>27</xdr:row>
      <xdr:rowOff>285750</xdr:rowOff>
    </xdr:to>
    <xdr:sp>
      <xdr:nvSpPr>
        <xdr:cNvPr id="23" name="Straight Arrow Connector 56"/>
        <xdr:cNvSpPr>
          <a:spLocks/>
        </xdr:cNvSpPr>
      </xdr:nvSpPr>
      <xdr:spPr>
        <a:xfrm rot="5400000" flipH="1" flipV="1">
          <a:off x="14420850" y="9058275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333375</xdr:colOff>
      <xdr:row>27</xdr:row>
      <xdr:rowOff>0</xdr:rowOff>
    </xdr:from>
    <xdr:to>
      <xdr:col>28</xdr:col>
      <xdr:colOff>333375</xdr:colOff>
      <xdr:row>27</xdr:row>
      <xdr:rowOff>276225</xdr:rowOff>
    </xdr:to>
    <xdr:sp>
      <xdr:nvSpPr>
        <xdr:cNvPr id="24" name="Straight Arrow Connector 57"/>
        <xdr:cNvSpPr>
          <a:spLocks/>
        </xdr:cNvSpPr>
      </xdr:nvSpPr>
      <xdr:spPr>
        <a:xfrm rot="5400000" flipH="1" flipV="1">
          <a:off x="15306675" y="90487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133350</xdr:rowOff>
    </xdr:from>
    <xdr:to>
      <xdr:col>6</xdr:col>
      <xdr:colOff>561975</xdr:colOff>
      <xdr:row>25</xdr:row>
      <xdr:rowOff>133350</xdr:rowOff>
    </xdr:to>
    <xdr:sp>
      <xdr:nvSpPr>
        <xdr:cNvPr id="25" name="Oval 28"/>
        <xdr:cNvSpPr>
          <a:spLocks/>
        </xdr:cNvSpPr>
      </xdr:nvSpPr>
      <xdr:spPr>
        <a:xfrm>
          <a:off x="4086225" y="8039100"/>
          <a:ext cx="581025" cy="5715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533400</xdr:colOff>
      <xdr:row>16</xdr:row>
      <xdr:rowOff>123825</xdr:rowOff>
    </xdr:from>
    <xdr:to>
      <xdr:col>6</xdr:col>
      <xdr:colOff>533400</xdr:colOff>
      <xdr:row>18</xdr:row>
      <xdr:rowOff>123825</xdr:rowOff>
    </xdr:to>
    <xdr:sp>
      <xdr:nvSpPr>
        <xdr:cNvPr id="26" name="Oval 29"/>
        <xdr:cNvSpPr>
          <a:spLocks/>
        </xdr:cNvSpPr>
      </xdr:nvSpPr>
      <xdr:spPr>
        <a:xfrm>
          <a:off x="4105275" y="6029325"/>
          <a:ext cx="533400" cy="5715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32</xdr:col>
      <xdr:colOff>447675</xdr:colOff>
      <xdr:row>27</xdr:row>
      <xdr:rowOff>28575</xdr:rowOff>
    </xdr:from>
    <xdr:to>
      <xdr:col>32</xdr:col>
      <xdr:colOff>447675</xdr:colOff>
      <xdr:row>28</xdr:row>
      <xdr:rowOff>9525</xdr:rowOff>
    </xdr:to>
    <xdr:sp>
      <xdr:nvSpPr>
        <xdr:cNvPr id="27" name="Straight Arrow Connector 55"/>
        <xdr:cNvSpPr>
          <a:spLocks/>
        </xdr:cNvSpPr>
      </xdr:nvSpPr>
      <xdr:spPr>
        <a:xfrm rot="5400000" flipH="1" flipV="1">
          <a:off x="17973675" y="9077325"/>
          <a:ext cx="0" cy="26670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34</xdr:col>
      <xdr:colOff>333375</xdr:colOff>
      <xdr:row>27</xdr:row>
      <xdr:rowOff>9525</xdr:rowOff>
    </xdr:from>
    <xdr:to>
      <xdr:col>34</xdr:col>
      <xdr:colOff>333375</xdr:colOff>
      <xdr:row>27</xdr:row>
      <xdr:rowOff>285750</xdr:rowOff>
    </xdr:to>
    <xdr:sp>
      <xdr:nvSpPr>
        <xdr:cNvPr id="28" name="Straight Arrow Connector 56"/>
        <xdr:cNvSpPr>
          <a:spLocks/>
        </xdr:cNvSpPr>
      </xdr:nvSpPr>
      <xdr:spPr>
        <a:xfrm rot="5400000" flipH="1" flipV="1">
          <a:off x="19211925" y="9058275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333375</xdr:colOff>
      <xdr:row>27</xdr:row>
      <xdr:rowOff>0</xdr:rowOff>
    </xdr:from>
    <xdr:to>
      <xdr:col>36</xdr:col>
      <xdr:colOff>333375</xdr:colOff>
      <xdr:row>27</xdr:row>
      <xdr:rowOff>276225</xdr:rowOff>
    </xdr:to>
    <xdr:sp>
      <xdr:nvSpPr>
        <xdr:cNvPr id="29" name="Straight Arrow Connector 57"/>
        <xdr:cNvSpPr>
          <a:spLocks/>
        </xdr:cNvSpPr>
      </xdr:nvSpPr>
      <xdr:spPr>
        <a:xfrm rot="5400000" flipH="1" flipV="1">
          <a:off x="20097750" y="90487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9525</xdr:colOff>
      <xdr:row>15</xdr:row>
      <xdr:rowOff>161925</xdr:rowOff>
    </xdr:from>
    <xdr:to>
      <xdr:col>47</xdr:col>
      <xdr:colOff>523875</xdr:colOff>
      <xdr:row>17</xdr:row>
      <xdr:rowOff>161925</xdr:rowOff>
    </xdr:to>
    <xdr:sp>
      <xdr:nvSpPr>
        <xdr:cNvPr id="30" name="Straight Arrow Connector 43"/>
        <xdr:cNvSpPr>
          <a:spLocks/>
        </xdr:cNvSpPr>
      </xdr:nvSpPr>
      <xdr:spPr>
        <a:xfrm flipV="1">
          <a:off x="26527125" y="5781675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9525</xdr:colOff>
      <xdr:row>24</xdr:row>
      <xdr:rowOff>133350</xdr:rowOff>
    </xdr:from>
    <xdr:to>
      <xdr:col>47</xdr:col>
      <xdr:colOff>523875</xdr:colOff>
      <xdr:row>26</xdr:row>
      <xdr:rowOff>133350</xdr:rowOff>
    </xdr:to>
    <xdr:sp>
      <xdr:nvSpPr>
        <xdr:cNvPr id="31" name="Straight Arrow Connector 44"/>
        <xdr:cNvSpPr>
          <a:spLocks/>
        </xdr:cNvSpPr>
      </xdr:nvSpPr>
      <xdr:spPr>
        <a:xfrm>
          <a:off x="26527125" y="8324850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9525</xdr:colOff>
      <xdr:row>17</xdr:row>
      <xdr:rowOff>161925</xdr:rowOff>
    </xdr:from>
    <xdr:to>
      <xdr:col>47</xdr:col>
      <xdr:colOff>523875</xdr:colOff>
      <xdr:row>22</xdr:row>
      <xdr:rowOff>123825</xdr:rowOff>
    </xdr:to>
    <xdr:sp>
      <xdr:nvSpPr>
        <xdr:cNvPr id="32" name="Straight Arrow Connector 45"/>
        <xdr:cNvSpPr>
          <a:spLocks/>
        </xdr:cNvSpPr>
      </xdr:nvSpPr>
      <xdr:spPr>
        <a:xfrm rot="16200000" flipH="1">
          <a:off x="26527125" y="6353175"/>
          <a:ext cx="514350" cy="1390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9525</xdr:colOff>
      <xdr:row>19</xdr:row>
      <xdr:rowOff>161925</xdr:rowOff>
    </xdr:from>
    <xdr:to>
      <xdr:col>47</xdr:col>
      <xdr:colOff>523875</xdr:colOff>
      <xdr:row>24</xdr:row>
      <xdr:rowOff>133350</xdr:rowOff>
    </xdr:to>
    <xdr:sp>
      <xdr:nvSpPr>
        <xdr:cNvPr id="33" name="Straight Arrow Connector 46"/>
        <xdr:cNvSpPr>
          <a:spLocks/>
        </xdr:cNvSpPr>
      </xdr:nvSpPr>
      <xdr:spPr>
        <a:xfrm rot="5400000" flipH="1" flipV="1">
          <a:off x="26527125" y="6924675"/>
          <a:ext cx="514350" cy="1400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48</xdr:col>
      <xdr:colOff>447675</xdr:colOff>
      <xdr:row>27</xdr:row>
      <xdr:rowOff>28575</xdr:rowOff>
    </xdr:from>
    <xdr:to>
      <xdr:col>48</xdr:col>
      <xdr:colOff>447675</xdr:colOff>
      <xdr:row>28</xdr:row>
      <xdr:rowOff>9525</xdr:rowOff>
    </xdr:to>
    <xdr:sp>
      <xdr:nvSpPr>
        <xdr:cNvPr id="34" name="Straight Arrow Connector 55"/>
        <xdr:cNvSpPr>
          <a:spLocks/>
        </xdr:cNvSpPr>
      </xdr:nvSpPr>
      <xdr:spPr>
        <a:xfrm rot="5400000" flipH="1" flipV="1">
          <a:off x="27489150" y="9077325"/>
          <a:ext cx="0" cy="26670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50</xdr:col>
      <xdr:colOff>333375</xdr:colOff>
      <xdr:row>27</xdr:row>
      <xdr:rowOff>9525</xdr:rowOff>
    </xdr:from>
    <xdr:to>
      <xdr:col>50</xdr:col>
      <xdr:colOff>333375</xdr:colOff>
      <xdr:row>27</xdr:row>
      <xdr:rowOff>285750</xdr:rowOff>
    </xdr:to>
    <xdr:sp>
      <xdr:nvSpPr>
        <xdr:cNvPr id="35" name="Straight Arrow Connector 56"/>
        <xdr:cNvSpPr>
          <a:spLocks/>
        </xdr:cNvSpPr>
      </xdr:nvSpPr>
      <xdr:spPr>
        <a:xfrm rot="5400000" flipH="1" flipV="1">
          <a:off x="28689300" y="9058275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52</xdr:col>
      <xdr:colOff>333375</xdr:colOff>
      <xdr:row>27</xdr:row>
      <xdr:rowOff>0</xdr:rowOff>
    </xdr:from>
    <xdr:to>
      <xdr:col>52</xdr:col>
      <xdr:colOff>333375</xdr:colOff>
      <xdr:row>27</xdr:row>
      <xdr:rowOff>276225</xdr:rowOff>
    </xdr:to>
    <xdr:sp>
      <xdr:nvSpPr>
        <xdr:cNvPr id="36" name="Straight Arrow Connector 57"/>
        <xdr:cNvSpPr>
          <a:spLocks/>
        </xdr:cNvSpPr>
      </xdr:nvSpPr>
      <xdr:spPr>
        <a:xfrm rot="5400000" flipH="1" flipV="1">
          <a:off x="29575125" y="90487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104775</xdr:colOff>
      <xdr:row>27</xdr:row>
      <xdr:rowOff>0</xdr:rowOff>
    </xdr:from>
    <xdr:to>
      <xdr:col>10</xdr:col>
      <xdr:colOff>104775</xdr:colOff>
      <xdr:row>27</xdr:row>
      <xdr:rowOff>285750</xdr:rowOff>
    </xdr:to>
    <xdr:sp>
      <xdr:nvSpPr>
        <xdr:cNvPr id="37" name="Straight Arrow Connector 51"/>
        <xdr:cNvSpPr>
          <a:spLocks/>
        </xdr:cNvSpPr>
      </xdr:nvSpPr>
      <xdr:spPr>
        <a:xfrm rot="5400000" flipH="1" flipV="1">
          <a:off x="5724525" y="9048750"/>
          <a:ext cx="0" cy="28575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247650</xdr:colOff>
      <xdr:row>26</xdr:row>
      <xdr:rowOff>285750</xdr:rowOff>
    </xdr:from>
    <xdr:to>
      <xdr:col>12</xdr:col>
      <xdr:colOff>247650</xdr:colOff>
      <xdr:row>27</xdr:row>
      <xdr:rowOff>276225</xdr:rowOff>
    </xdr:to>
    <xdr:sp>
      <xdr:nvSpPr>
        <xdr:cNvPr id="38" name="Straight Arrow Connector 52"/>
        <xdr:cNvSpPr>
          <a:spLocks/>
        </xdr:cNvSpPr>
      </xdr:nvSpPr>
      <xdr:spPr>
        <a:xfrm rot="5400000" flipH="1" flipV="1">
          <a:off x="6696075" y="90487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9525</xdr:colOff>
      <xdr:row>15</xdr:row>
      <xdr:rowOff>161925</xdr:rowOff>
    </xdr:from>
    <xdr:to>
      <xdr:col>39</xdr:col>
      <xdr:colOff>523875</xdr:colOff>
      <xdr:row>17</xdr:row>
      <xdr:rowOff>161925</xdr:rowOff>
    </xdr:to>
    <xdr:sp>
      <xdr:nvSpPr>
        <xdr:cNvPr id="39" name="Straight Arrow Connector 43"/>
        <xdr:cNvSpPr>
          <a:spLocks/>
        </xdr:cNvSpPr>
      </xdr:nvSpPr>
      <xdr:spPr>
        <a:xfrm flipV="1">
          <a:off x="21802725" y="5781675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9525</xdr:colOff>
      <xdr:row>24</xdr:row>
      <xdr:rowOff>133350</xdr:rowOff>
    </xdr:from>
    <xdr:to>
      <xdr:col>39</xdr:col>
      <xdr:colOff>523875</xdr:colOff>
      <xdr:row>26</xdr:row>
      <xdr:rowOff>133350</xdr:rowOff>
    </xdr:to>
    <xdr:sp>
      <xdr:nvSpPr>
        <xdr:cNvPr id="40" name="Straight Arrow Connector 44"/>
        <xdr:cNvSpPr>
          <a:spLocks/>
        </xdr:cNvSpPr>
      </xdr:nvSpPr>
      <xdr:spPr>
        <a:xfrm>
          <a:off x="21802725" y="8324850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9525</xdr:colOff>
      <xdr:row>17</xdr:row>
      <xdr:rowOff>161925</xdr:rowOff>
    </xdr:from>
    <xdr:to>
      <xdr:col>39</xdr:col>
      <xdr:colOff>523875</xdr:colOff>
      <xdr:row>22</xdr:row>
      <xdr:rowOff>123825</xdr:rowOff>
    </xdr:to>
    <xdr:sp>
      <xdr:nvSpPr>
        <xdr:cNvPr id="41" name="Straight Arrow Connector 45"/>
        <xdr:cNvSpPr>
          <a:spLocks/>
        </xdr:cNvSpPr>
      </xdr:nvSpPr>
      <xdr:spPr>
        <a:xfrm rot="16200000" flipH="1">
          <a:off x="21802725" y="6353175"/>
          <a:ext cx="514350" cy="1390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9525</xdr:colOff>
      <xdr:row>19</xdr:row>
      <xdr:rowOff>161925</xdr:rowOff>
    </xdr:from>
    <xdr:to>
      <xdr:col>39</xdr:col>
      <xdr:colOff>523875</xdr:colOff>
      <xdr:row>24</xdr:row>
      <xdr:rowOff>133350</xdr:rowOff>
    </xdr:to>
    <xdr:sp>
      <xdr:nvSpPr>
        <xdr:cNvPr id="42" name="Straight Arrow Connector 46"/>
        <xdr:cNvSpPr>
          <a:spLocks/>
        </xdr:cNvSpPr>
      </xdr:nvSpPr>
      <xdr:spPr>
        <a:xfrm rot="5400000" flipH="1" flipV="1">
          <a:off x="21802725" y="6924675"/>
          <a:ext cx="514350" cy="1400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447675</xdr:colOff>
      <xdr:row>27</xdr:row>
      <xdr:rowOff>28575</xdr:rowOff>
    </xdr:from>
    <xdr:to>
      <xdr:col>40</xdr:col>
      <xdr:colOff>447675</xdr:colOff>
      <xdr:row>28</xdr:row>
      <xdr:rowOff>9525</xdr:rowOff>
    </xdr:to>
    <xdr:sp>
      <xdr:nvSpPr>
        <xdr:cNvPr id="43" name="Straight Arrow Connector 55"/>
        <xdr:cNvSpPr>
          <a:spLocks/>
        </xdr:cNvSpPr>
      </xdr:nvSpPr>
      <xdr:spPr>
        <a:xfrm rot="5400000" flipH="1" flipV="1">
          <a:off x="22764750" y="9077325"/>
          <a:ext cx="0" cy="26670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42</xdr:col>
      <xdr:colOff>333375</xdr:colOff>
      <xdr:row>27</xdr:row>
      <xdr:rowOff>9525</xdr:rowOff>
    </xdr:from>
    <xdr:to>
      <xdr:col>42</xdr:col>
      <xdr:colOff>333375</xdr:colOff>
      <xdr:row>27</xdr:row>
      <xdr:rowOff>285750</xdr:rowOff>
    </xdr:to>
    <xdr:sp>
      <xdr:nvSpPr>
        <xdr:cNvPr id="44" name="Straight Arrow Connector 56"/>
        <xdr:cNvSpPr>
          <a:spLocks/>
        </xdr:cNvSpPr>
      </xdr:nvSpPr>
      <xdr:spPr>
        <a:xfrm rot="5400000" flipH="1" flipV="1">
          <a:off x="23936325" y="9058275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44</xdr:col>
      <xdr:colOff>333375</xdr:colOff>
      <xdr:row>27</xdr:row>
      <xdr:rowOff>0</xdr:rowOff>
    </xdr:from>
    <xdr:to>
      <xdr:col>44</xdr:col>
      <xdr:colOff>333375</xdr:colOff>
      <xdr:row>27</xdr:row>
      <xdr:rowOff>276225</xdr:rowOff>
    </xdr:to>
    <xdr:sp>
      <xdr:nvSpPr>
        <xdr:cNvPr id="45" name="Straight Arrow Connector 57"/>
        <xdr:cNvSpPr>
          <a:spLocks/>
        </xdr:cNvSpPr>
      </xdr:nvSpPr>
      <xdr:spPr>
        <a:xfrm rot="5400000" flipH="1" flipV="1">
          <a:off x="24822150" y="90487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514350</xdr:colOff>
      <xdr:row>17</xdr:row>
      <xdr:rowOff>200025</xdr:rowOff>
    </xdr:from>
    <xdr:to>
      <xdr:col>14</xdr:col>
      <xdr:colOff>523875</xdr:colOff>
      <xdr:row>17</xdr:row>
      <xdr:rowOff>219075</xdr:rowOff>
    </xdr:to>
    <xdr:sp>
      <xdr:nvSpPr>
        <xdr:cNvPr id="1" name="Line 5"/>
        <xdr:cNvSpPr>
          <a:spLocks/>
        </xdr:cNvSpPr>
      </xdr:nvSpPr>
      <xdr:spPr>
        <a:xfrm flipH="1" flipV="1">
          <a:off x="7905750" y="7115175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523875</xdr:colOff>
      <xdr:row>17</xdr:row>
      <xdr:rowOff>123825</xdr:rowOff>
    </xdr:from>
    <xdr:to>
      <xdr:col>7</xdr:col>
      <xdr:colOff>504825</xdr:colOff>
      <xdr:row>17</xdr:row>
      <xdr:rowOff>123825</xdr:rowOff>
    </xdr:to>
    <xdr:sp>
      <xdr:nvSpPr>
        <xdr:cNvPr id="2" name="Straight Arrow Connector 4"/>
        <xdr:cNvSpPr>
          <a:spLocks/>
        </xdr:cNvSpPr>
      </xdr:nvSpPr>
      <xdr:spPr>
        <a:xfrm>
          <a:off x="4629150" y="7038975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561975</xdr:colOff>
      <xdr:row>24</xdr:row>
      <xdr:rowOff>133350</xdr:rowOff>
    </xdr:from>
    <xdr:to>
      <xdr:col>7</xdr:col>
      <xdr:colOff>504825</xdr:colOff>
      <xdr:row>24</xdr:row>
      <xdr:rowOff>133350</xdr:rowOff>
    </xdr:to>
    <xdr:sp>
      <xdr:nvSpPr>
        <xdr:cNvPr id="3" name="Straight Arrow Connector 5"/>
        <xdr:cNvSpPr>
          <a:spLocks/>
        </xdr:cNvSpPr>
      </xdr:nvSpPr>
      <xdr:spPr>
        <a:xfrm>
          <a:off x="4667250" y="904875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752475</xdr:colOff>
      <xdr:row>15</xdr:row>
      <xdr:rowOff>276225</xdr:rowOff>
    </xdr:from>
    <xdr:to>
      <xdr:col>15</xdr:col>
      <xdr:colOff>495300</xdr:colOff>
      <xdr:row>17</xdr:row>
      <xdr:rowOff>133350</xdr:rowOff>
    </xdr:to>
    <xdr:sp>
      <xdr:nvSpPr>
        <xdr:cNvPr id="4" name="Straight Arrow Connector 6"/>
        <xdr:cNvSpPr>
          <a:spLocks/>
        </xdr:cNvSpPr>
      </xdr:nvSpPr>
      <xdr:spPr>
        <a:xfrm flipV="1">
          <a:off x="8143875" y="6619875"/>
          <a:ext cx="49530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752475</xdr:colOff>
      <xdr:row>24</xdr:row>
      <xdr:rowOff>123825</xdr:rowOff>
    </xdr:from>
    <xdr:to>
      <xdr:col>15</xdr:col>
      <xdr:colOff>504825</xdr:colOff>
      <xdr:row>26</xdr:row>
      <xdr:rowOff>123825</xdr:rowOff>
    </xdr:to>
    <xdr:sp>
      <xdr:nvSpPr>
        <xdr:cNvPr id="5" name="Straight Arrow Connector 7"/>
        <xdr:cNvSpPr>
          <a:spLocks/>
        </xdr:cNvSpPr>
      </xdr:nvSpPr>
      <xdr:spPr>
        <a:xfrm>
          <a:off x="8143875" y="9039225"/>
          <a:ext cx="504825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22</xdr:col>
      <xdr:colOff>904875</xdr:colOff>
      <xdr:row>15</xdr:row>
      <xdr:rowOff>161925</xdr:rowOff>
    </xdr:from>
    <xdr:to>
      <xdr:col>23</xdr:col>
      <xdr:colOff>514350</xdr:colOff>
      <xdr:row>17</xdr:row>
      <xdr:rowOff>152400</xdr:rowOff>
    </xdr:to>
    <xdr:sp>
      <xdr:nvSpPr>
        <xdr:cNvPr id="6" name="Straight Arrow Connector 8"/>
        <xdr:cNvSpPr>
          <a:spLocks/>
        </xdr:cNvSpPr>
      </xdr:nvSpPr>
      <xdr:spPr>
        <a:xfrm flipV="1">
          <a:off x="12449175" y="6505575"/>
          <a:ext cx="514350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133350</xdr:rowOff>
    </xdr:from>
    <xdr:to>
      <xdr:col>23</xdr:col>
      <xdr:colOff>504825</xdr:colOff>
      <xdr:row>26</xdr:row>
      <xdr:rowOff>161925</xdr:rowOff>
    </xdr:to>
    <xdr:sp>
      <xdr:nvSpPr>
        <xdr:cNvPr id="7" name="Straight Arrow Connector 9"/>
        <xdr:cNvSpPr>
          <a:spLocks/>
        </xdr:cNvSpPr>
      </xdr:nvSpPr>
      <xdr:spPr>
        <a:xfrm>
          <a:off x="12449175" y="9048750"/>
          <a:ext cx="504825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752475</xdr:colOff>
      <xdr:row>17</xdr:row>
      <xdr:rowOff>152400</xdr:rowOff>
    </xdr:from>
    <xdr:to>
      <xdr:col>15</xdr:col>
      <xdr:colOff>504825</xdr:colOff>
      <xdr:row>22</xdr:row>
      <xdr:rowOff>114300</xdr:rowOff>
    </xdr:to>
    <xdr:sp>
      <xdr:nvSpPr>
        <xdr:cNvPr id="8" name="Straight Arrow Connector 10"/>
        <xdr:cNvSpPr>
          <a:spLocks/>
        </xdr:cNvSpPr>
      </xdr:nvSpPr>
      <xdr:spPr>
        <a:xfrm rot="16200000" flipH="1">
          <a:off x="8143875" y="7067550"/>
          <a:ext cx="504825" cy="1390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22</xdr:col>
      <xdr:colOff>895350</xdr:colOff>
      <xdr:row>17</xdr:row>
      <xdr:rowOff>152400</xdr:rowOff>
    </xdr:from>
    <xdr:to>
      <xdr:col>23</xdr:col>
      <xdr:colOff>514350</xdr:colOff>
      <xdr:row>22</xdr:row>
      <xdr:rowOff>152400</xdr:rowOff>
    </xdr:to>
    <xdr:sp>
      <xdr:nvSpPr>
        <xdr:cNvPr id="9" name="Straight Arrow Connector 13"/>
        <xdr:cNvSpPr>
          <a:spLocks/>
        </xdr:cNvSpPr>
      </xdr:nvSpPr>
      <xdr:spPr>
        <a:xfrm rot="16200000" flipH="1">
          <a:off x="12439650" y="7067550"/>
          <a:ext cx="523875" cy="1428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752475</xdr:colOff>
      <xdr:row>19</xdr:row>
      <xdr:rowOff>152400</xdr:rowOff>
    </xdr:from>
    <xdr:to>
      <xdr:col>15</xdr:col>
      <xdr:colOff>504825</xdr:colOff>
      <xdr:row>24</xdr:row>
      <xdr:rowOff>123825</xdr:rowOff>
    </xdr:to>
    <xdr:sp>
      <xdr:nvSpPr>
        <xdr:cNvPr id="10" name="Straight Arrow Connector 16"/>
        <xdr:cNvSpPr>
          <a:spLocks/>
        </xdr:cNvSpPr>
      </xdr:nvSpPr>
      <xdr:spPr>
        <a:xfrm rot="5400000" flipH="1" flipV="1">
          <a:off x="8143875" y="7639050"/>
          <a:ext cx="504825" cy="1400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22</xdr:col>
      <xdr:colOff>895350</xdr:colOff>
      <xdr:row>19</xdr:row>
      <xdr:rowOff>190500</xdr:rowOff>
    </xdr:from>
    <xdr:to>
      <xdr:col>23</xdr:col>
      <xdr:colOff>495300</xdr:colOff>
      <xdr:row>24</xdr:row>
      <xdr:rowOff>123825</xdr:rowOff>
    </xdr:to>
    <xdr:sp>
      <xdr:nvSpPr>
        <xdr:cNvPr id="11" name="Straight Arrow Connector 19"/>
        <xdr:cNvSpPr>
          <a:spLocks/>
        </xdr:cNvSpPr>
      </xdr:nvSpPr>
      <xdr:spPr>
        <a:xfrm rot="5400000" flipH="1" flipV="1">
          <a:off x="12439650" y="7677150"/>
          <a:ext cx="504825" cy="1362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533400</xdr:colOff>
      <xdr:row>18</xdr:row>
      <xdr:rowOff>47625</xdr:rowOff>
    </xdr:from>
    <xdr:to>
      <xdr:col>6</xdr:col>
      <xdr:colOff>76200</xdr:colOff>
      <xdr:row>20</xdr:row>
      <xdr:rowOff>285750</xdr:rowOff>
    </xdr:to>
    <xdr:sp>
      <xdr:nvSpPr>
        <xdr:cNvPr id="12" name="Straight Arrow Connector 28"/>
        <xdr:cNvSpPr>
          <a:spLocks/>
        </xdr:cNvSpPr>
      </xdr:nvSpPr>
      <xdr:spPr>
        <a:xfrm rot="5400000" flipH="1" flipV="1">
          <a:off x="3571875" y="7248525"/>
          <a:ext cx="60960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533400</xdr:colOff>
      <xdr:row>21</xdr:row>
      <xdr:rowOff>0</xdr:rowOff>
    </xdr:from>
    <xdr:to>
      <xdr:col>6</xdr:col>
      <xdr:colOff>57150</xdr:colOff>
      <xdr:row>23</xdr:row>
      <xdr:rowOff>219075</xdr:rowOff>
    </xdr:to>
    <xdr:sp>
      <xdr:nvSpPr>
        <xdr:cNvPr id="13" name="Straight Arrow Connector 31"/>
        <xdr:cNvSpPr>
          <a:spLocks/>
        </xdr:cNvSpPr>
      </xdr:nvSpPr>
      <xdr:spPr>
        <a:xfrm rot="16200000" flipH="1">
          <a:off x="3571875" y="8058150"/>
          <a:ext cx="590550" cy="790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9525</xdr:colOff>
      <xdr:row>15</xdr:row>
      <xdr:rowOff>161925</xdr:rowOff>
    </xdr:from>
    <xdr:to>
      <xdr:col>31</xdr:col>
      <xdr:colOff>523875</xdr:colOff>
      <xdr:row>17</xdr:row>
      <xdr:rowOff>161925</xdr:rowOff>
    </xdr:to>
    <xdr:sp>
      <xdr:nvSpPr>
        <xdr:cNvPr id="14" name="Straight Arrow Connector 43"/>
        <xdr:cNvSpPr>
          <a:spLocks/>
        </xdr:cNvSpPr>
      </xdr:nvSpPr>
      <xdr:spPr>
        <a:xfrm flipV="1">
          <a:off x="17030700" y="6505575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9525</xdr:colOff>
      <xdr:row>24</xdr:row>
      <xdr:rowOff>133350</xdr:rowOff>
    </xdr:from>
    <xdr:to>
      <xdr:col>31</xdr:col>
      <xdr:colOff>523875</xdr:colOff>
      <xdr:row>26</xdr:row>
      <xdr:rowOff>133350</xdr:rowOff>
    </xdr:to>
    <xdr:sp>
      <xdr:nvSpPr>
        <xdr:cNvPr id="15" name="Straight Arrow Connector 44"/>
        <xdr:cNvSpPr>
          <a:spLocks/>
        </xdr:cNvSpPr>
      </xdr:nvSpPr>
      <xdr:spPr>
        <a:xfrm>
          <a:off x="17030700" y="9048750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9525</xdr:colOff>
      <xdr:row>17</xdr:row>
      <xdr:rowOff>161925</xdr:rowOff>
    </xdr:from>
    <xdr:to>
      <xdr:col>31</xdr:col>
      <xdr:colOff>523875</xdr:colOff>
      <xdr:row>22</xdr:row>
      <xdr:rowOff>123825</xdr:rowOff>
    </xdr:to>
    <xdr:sp>
      <xdr:nvSpPr>
        <xdr:cNvPr id="16" name="Straight Arrow Connector 45"/>
        <xdr:cNvSpPr>
          <a:spLocks/>
        </xdr:cNvSpPr>
      </xdr:nvSpPr>
      <xdr:spPr>
        <a:xfrm rot="16200000" flipH="1">
          <a:off x="17030700" y="7077075"/>
          <a:ext cx="514350" cy="1390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9525</xdr:colOff>
      <xdr:row>19</xdr:row>
      <xdr:rowOff>161925</xdr:rowOff>
    </xdr:from>
    <xdr:to>
      <xdr:col>31</xdr:col>
      <xdr:colOff>523875</xdr:colOff>
      <xdr:row>24</xdr:row>
      <xdr:rowOff>133350</xdr:rowOff>
    </xdr:to>
    <xdr:sp>
      <xdr:nvSpPr>
        <xdr:cNvPr id="17" name="Straight Arrow Connector 46"/>
        <xdr:cNvSpPr>
          <a:spLocks/>
        </xdr:cNvSpPr>
      </xdr:nvSpPr>
      <xdr:spPr>
        <a:xfrm rot="5400000" flipH="1" flipV="1">
          <a:off x="17030700" y="7648575"/>
          <a:ext cx="514350" cy="1400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16</xdr:col>
      <xdr:colOff>514350</xdr:colOff>
      <xdr:row>27</xdr:row>
      <xdr:rowOff>9525</xdr:rowOff>
    </xdr:from>
    <xdr:to>
      <xdr:col>16</xdr:col>
      <xdr:colOff>514350</xdr:colOff>
      <xdr:row>28</xdr:row>
      <xdr:rowOff>0</xdr:rowOff>
    </xdr:to>
    <xdr:sp>
      <xdr:nvSpPr>
        <xdr:cNvPr id="18" name="Straight Arrow Connector 50"/>
        <xdr:cNvSpPr>
          <a:spLocks/>
        </xdr:cNvSpPr>
      </xdr:nvSpPr>
      <xdr:spPr>
        <a:xfrm rot="5400000" flipH="1" flipV="1">
          <a:off x="9182100" y="9782175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247650</xdr:colOff>
      <xdr:row>27</xdr:row>
      <xdr:rowOff>0</xdr:rowOff>
    </xdr:from>
    <xdr:to>
      <xdr:col>18</xdr:col>
      <xdr:colOff>247650</xdr:colOff>
      <xdr:row>27</xdr:row>
      <xdr:rowOff>285750</xdr:rowOff>
    </xdr:to>
    <xdr:sp>
      <xdr:nvSpPr>
        <xdr:cNvPr id="19" name="Straight Arrow Connector 51"/>
        <xdr:cNvSpPr>
          <a:spLocks/>
        </xdr:cNvSpPr>
      </xdr:nvSpPr>
      <xdr:spPr>
        <a:xfrm rot="5400000" flipH="1" flipV="1">
          <a:off x="9963150" y="9772650"/>
          <a:ext cx="0" cy="28575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20</xdr:col>
      <xdr:colOff>247650</xdr:colOff>
      <xdr:row>26</xdr:row>
      <xdr:rowOff>285750</xdr:rowOff>
    </xdr:from>
    <xdr:to>
      <xdr:col>20</xdr:col>
      <xdr:colOff>247650</xdr:colOff>
      <xdr:row>27</xdr:row>
      <xdr:rowOff>276225</xdr:rowOff>
    </xdr:to>
    <xdr:sp>
      <xdr:nvSpPr>
        <xdr:cNvPr id="20" name="Straight Arrow Connector 52"/>
        <xdr:cNvSpPr>
          <a:spLocks/>
        </xdr:cNvSpPr>
      </xdr:nvSpPr>
      <xdr:spPr>
        <a:xfrm rot="5400000" flipH="1" flipV="1">
          <a:off x="10848975" y="97726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447675</xdr:colOff>
      <xdr:row>27</xdr:row>
      <xdr:rowOff>28575</xdr:rowOff>
    </xdr:from>
    <xdr:to>
      <xdr:col>24</xdr:col>
      <xdr:colOff>447675</xdr:colOff>
      <xdr:row>28</xdr:row>
      <xdr:rowOff>9525</xdr:rowOff>
    </xdr:to>
    <xdr:sp>
      <xdr:nvSpPr>
        <xdr:cNvPr id="21" name="Straight Arrow Connector 55"/>
        <xdr:cNvSpPr>
          <a:spLocks/>
        </xdr:cNvSpPr>
      </xdr:nvSpPr>
      <xdr:spPr>
        <a:xfrm rot="5400000" flipH="1" flipV="1">
          <a:off x="13420725" y="9801225"/>
          <a:ext cx="0" cy="26670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26</xdr:col>
      <xdr:colOff>333375</xdr:colOff>
      <xdr:row>27</xdr:row>
      <xdr:rowOff>9525</xdr:rowOff>
    </xdr:from>
    <xdr:to>
      <xdr:col>26</xdr:col>
      <xdr:colOff>333375</xdr:colOff>
      <xdr:row>27</xdr:row>
      <xdr:rowOff>285750</xdr:rowOff>
    </xdr:to>
    <xdr:sp>
      <xdr:nvSpPr>
        <xdr:cNvPr id="22" name="Straight Arrow Connector 56"/>
        <xdr:cNvSpPr>
          <a:spLocks/>
        </xdr:cNvSpPr>
      </xdr:nvSpPr>
      <xdr:spPr>
        <a:xfrm rot="5400000" flipH="1" flipV="1">
          <a:off x="14439900" y="9782175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333375</xdr:colOff>
      <xdr:row>27</xdr:row>
      <xdr:rowOff>0</xdr:rowOff>
    </xdr:from>
    <xdr:to>
      <xdr:col>28</xdr:col>
      <xdr:colOff>333375</xdr:colOff>
      <xdr:row>27</xdr:row>
      <xdr:rowOff>276225</xdr:rowOff>
    </xdr:to>
    <xdr:sp>
      <xdr:nvSpPr>
        <xdr:cNvPr id="23" name="Straight Arrow Connector 57"/>
        <xdr:cNvSpPr>
          <a:spLocks/>
        </xdr:cNvSpPr>
      </xdr:nvSpPr>
      <xdr:spPr>
        <a:xfrm rot="5400000" flipH="1" flipV="1">
          <a:off x="15325725" y="97726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133350</xdr:rowOff>
    </xdr:from>
    <xdr:to>
      <xdr:col>6</xdr:col>
      <xdr:colOff>561975</xdr:colOff>
      <xdr:row>25</xdr:row>
      <xdr:rowOff>133350</xdr:rowOff>
    </xdr:to>
    <xdr:sp>
      <xdr:nvSpPr>
        <xdr:cNvPr id="24" name="Oval 28"/>
        <xdr:cNvSpPr>
          <a:spLocks/>
        </xdr:cNvSpPr>
      </xdr:nvSpPr>
      <xdr:spPr>
        <a:xfrm>
          <a:off x="4086225" y="8763000"/>
          <a:ext cx="581025" cy="5715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533400</xdr:colOff>
      <xdr:row>16</xdr:row>
      <xdr:rowOff>123825</xdr:rowOff>
    </xdr:from>
    <xdr:to>
      <xdr:col>6</xdr:col>
      <xdr:colOff>533400</xdr:colOff>
      <xdr:row>18</xdr:row>
      <xdr:rowOff>123825</xdr:rowOff>
    </xdr:to>
    <xdr:sp>
      <xdr:nvSpPr>
        <xdr:cNvPr id="25" name="Oval 29"/>
        <xdr:cNvSpPr>
          <a:spLocks/>
        </xdr:cNvSpPr>
      </xdr:nvSpPr>
      <xdr:spPr>
        <a:xfrm>
          <a:off x="4105275" y="6753225"/>
          <a:ext cx="533400" cy="5715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32</xdr:col>
      <xdr:colOff>447675</xdr:colOff>
      <xdr:row>27</xdr:row>
      <xdr:rowOff>28575</xdr:rowOff>
    </xdr:from>
    <xdr:to>
      <xdr:col>32</xdr:col>
      <xdr:colOff>447675</xdr:colOff>
      <xdr:row>28</xdr:row>
      <xdr:rowOff>9525</xdr:rowOff>
    </xdr:to>
    <xdr:sp>
      <xdr:nvSpPr>
        <xdr:cNvPr id="26" name="Straight Arrow Connector 55"/>
        <xdr:cNvSpPr>
          <a:spLocks/>
        </xdr:cNvSpPr>
      </xdr:nvSpPr>
      <xdr:spPr>
        <a:xfrm rot="5400000" flipH="1" flipV="1">
          <a:off x="17992725" y="9801225"/>
          <a:ext cx="0" cy="26670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34</xdr:col>
      <xdr:colOff>333375</xdr:colOff>
      <xdr:row>27</xdr:row>
      <xdr:rowOff>9525</xdr:rowOff>
    </xdr:from>
    <xdr:to>
      <xdr:col>34</xdr:col>
      <xdr:colOff>333375</xdr:colOff>
      <xdr:row>27</xdr:row>
      <xdr:rowOff>285750</xdr:rowOff>
    </xdr:to>
    <xdr:sp>
      <xdr:nvSpPr>
        <xdr:cNvPr id="27" name="Straight Arrow Connector 56"/>
        <xdr:cNvSpPr>
          <a:spLocks/>
        </xdr:cNvSpPr>
      </xdr:nvSpPr>
      <xdr:spPr>
        <a:xfrm rot="5400000" flipH="1" flipV="1">
          <a:off x="19230975" y="9782175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333375</xdr:colOff>
      <xdr:row>27</xdr:row>
      <xdr:rowOff>0</xdr:rowOff>
    </xdr:from>
    <xdr:to>
      <xdr:col>36</xdr:col>
      <xdr:colOff>333375</xdr:colOff>
      <xdr:row>27</xdr:row>
      <xdr:rowOff>276225</xdr:rowOff>
    </xdr:to>
    <xdr:sp>
      <xdr:nvSpPr>
        <xdr:cNvPr id="28" name="Straight Arrow Connector 57"/>
        <xdr:cNvSpPr>
          <a:spLocks/>
        </xdr:cNvSpPr>
      </xdr:nvSpPr>
      <xdr:spPr>
        <a:xfrm rot="5400000" flipH="1" flipV="1">
          <a:off x="20116800" y="97726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9525</xdr:colOff>
      <xdr:row>15</xdr:row>
      <xdr:rowOff>161925</xdr:rowOff>
    </xdr:from>
    <xdr:to>
      <xdr:col>47</xdr:col>
      <xdr:colOff>523875</xdr:colOff>
      <xdr:row>17</xdr:row>
      <xdr:rowOff>161925</xdr:rowOff>
    </xdr:to>
    <xdr:sp>
      <xdr:nvSpPr>
        <xdr:cNvPr id="29" name="Straight Arrow Connector 43"/>
        <xdr:cNvSpPr>
          <a:spLocks/>
        </xdr:cNvSpPr>
      </xdr:nvSpPr>
      <xdr:spPr>
        <a:xfrm flipV="1">
          <a:off x="26546175" y="6505575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9525</xdr:colOff>
      <xdr:row>24</xdr:row>
      <xdr:rowOff>133350</xdr:rowOff>
    </xdr:from>
    <xdr:to>
      <xdr:col>47</xdr:col>
      <xdr:colOff>523875</xdr:colOff>
      <xdr:row>26</xdr:row>
      <xdr:rowOff>133350</xdr:rowOff>
    </xdr:to>
    <xdr:sp>
      <xdr:nvSpPr>
        <xdr:cNvPr id="30" name="Straight Arrow Connector 44"/>
        <xdr:cNvSpPr>
          <a:spLocks/>
        </xdr:cNvSpPr>
      </xdr:nvSpPr>
      <xdr:spPr>
        <a:xfrm>
          <a:off x="26546175" y="9048750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9525</xdr:colOff>
      <xdr:row>17</xdr:row>
      <xdr:rowOff>161925</xdr:rowOff>
    </xdr:from>
    <xdr:to>
      <xdr:col>47</xdr:col>
      <xdr:colOff>523875</xdr:colOff>
      <xdr:row>22</xdr:row>
      <xdr:rowOff>123825</xdr:rowOff>
    </xdr:to>
    <xdr:sp>
      <xdr:nvSpPr>
        <xdr:cNvPr id="31" name="Straight Arrow Connector 45"/>
        <xdr:cNvSpPr>
          <a:spLocks/>
        </xdr:cNvSpPr>
      </xdr:nvSpPr>
      <xdr:spPr>
        <a:xfrm rot="16200000" flipH="1">
          <a:off x="26546175" y="7077075"/>
          <a:ext cx="514350" cy="1390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9525</xdr:colOff>
      <xdr:row>19</xdr:row>
      <xdr:rowOff>161925</xdr:rowOff>
    </xdr:from>
    <xdr:to>
      <xdr:col>47</xdr:col>
      <xdr:colOff>523875</xdr:colOff>
      <xdr:row>24</xdr:row>
      <xdr:rowOff>133350</xdr:rowOff>
    </xdr:to>
    <xdr:sp>
      <xdr:nvSpPr>
        <xdr:cNvPr id="32" name="Straight Arrow Connector 46"/>
        <xdr:cNvSpPr>
          <a:spLocks/>
        </xdr:cNvSpPr>
      </xdr:nvSpPr>
      <xdr:spPr>
        <a:xfrm rot="5400000" flipH="1" flipV="1">
          <a:off x="26546175" y="7648575"/>
          <a:ext cx="514350" cy="1400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48</xdr:col>
      <xdr:colOff>447675</xdr:colOff>
      <xdr:row>27</xdr:row>
      <xdr:rowOff>28575</xdr:rowOff>
    </xdr:from>
    <xdr:to>
      <xdr:col>48</xdr:col>
      <xdr:colOff>447675</xdr:colOff>
      <xdr:row>28</xdr:row>
      <xdr:rowOff>9525</xdr:rowOff>
    </xdr:to>
    <xdr:sp>
      <xdr:nvSpPr>
        <xdr:cNvPr id="33" name="Straight Arrow Connector 55"/>
        <xdr:cNvSpPr>
          <a:spLocks/>
        </xdr:cNvSpPr>
      </xdr:nvSpPr>
      <xdr:spPr>
        <a:xfrm rot="5400000" flipH="1" flipV="1">
          <a:off x="27508200" y="9801225"/>
          <a:ext cx="0" cy="26670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50</xdr:col>
      <xdr:colOff>333375</xdr:colOff>
      <xdr:row>27</xdr:row>
      <xdr:rowOff>9525</xdr:rowOff>
    </xdr:from>
    <xdr:to>
      <xdr:col>50</xdr:col>
      <xdr:colOff>333375</xdr:colOff>
      <xdr:row>27</xdr:row>
      <xdr:rowOff>285750</xdr:rowOff>
    </xdr:to>
    <xdr:sp>
      <xdr:nvSpPr>
        <xdr:cNvPr id="34" name="Straight Arrow Connector 56"/>
        <xdr:cNvSpPr>
          <a:spLocks/>
        </xdr:cNvSpPr>
      </xdr:nvSpPr>
      <xdr:spPr>
        <a:xfrm rot="5400000" flipH="1" flipV="1">
          <a:off x="28708350" y="9782175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52</xdr:col>
      <xdr:colOff>333375</xdr:colOff>
      <xdr:row>27</xdr:row>
      <xdr:rowOff>0</xdr:rowOff>
    </xdr:from>
    <xdr:to>
      <xdr:col>52</xdr:col>
      <xdr:colOff>333375</xdr:colOff>
      <xdr:row>27</xdr:row>
      <xdr:rowOff>276225</xdr:rowOff>
    </xdr:to>
    <xdr:sp>
      <xdr:nvSpPr>
        <xdr:cNvPr id="35" name="Straight Arrow Connector 57"/>
        <xdr:cNvSpPr>
          <a:spLocks/>
        </xdr:cNvSpPr>
      </xdr:nvSpPr>
      <xdr:spPr>
        <a:xfrm rot="5400000" flipH="1" flipV="1">
          <a:off x="29594175" y="97726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104775</xdr:colOff>
      <xdr:row>27</xdr:row>
      <xdr:rowOff>0</xdr:rowOff>
    </xdr:from>
    <xdr:to>
      <xdr:col>10</xdr:col>
      <xdr:colOff>104775</xdr:colOff>
      <xdr:row>27</xdr:row>
      <xdr:rowOff>285750</xdr:rowOff>
    </xdr:to>
    <xdr:sp>
      <xdr:nvSpPr>
        <xdr:cNvPr id="36" name="Straight Arrow Connector 51"/>
        <xdr:cNvSpPr>
          <a:spLocks/>
        </xdr:cNvSpPr>
      </xdr:nvSpPr>
      <xdr:spPr>
        <a:xfrm rot="5400000" flipH="1" flipV="1">
          <a:off x="5724525" y="9772650"/>
          <a:ext cx="0" cy="28575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247650</xdr:colOff>
      <xdr:row>26</xdr:row>
      <xdr:rowOff>285750</xdr:rowOff>
    </xdr:from>
    <xdr:to>
      <xdr:col>12</xdr:col>
      <xdr:colOff>247650</xdr:colOff>
      <xdr:row>27</xdr:row>
      <xdr:rowOff>276225</xdr:rowOff>
    </xdr:to>
    <xdr:sp>
      <xdr:nvSpPr>
        <xdr:cNvPr id="37" name="Straight Arrow Connector 52"/>
        <xdr:cNvSpPr>
          <a:spLocks/>
        </xdr:cNvSpPr>
      </xdr:nvSpPr>
      <xdr:spPr>
        <a:xfrm rot="5400000" flipH="1" flipV="1">
          <a:off x="6696075" y="97726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9525</xdr:colOff>
      <xdr:row>15</xdr:row>
      <xdr:rowOff>161925</xdr:rowOff>
    </xdr:from>
    <xdr:to>
      <xdr:col>39</xdr:col>
      <xdr:colOff>523875</xdr:colOff>
      <xdr:row>17</xdr:row>
      <xdr:rowOff>161925</xdr:rowOff>
    </xdr:to>
    <xdr:sp>
      <xdr:nvSpPr>
        <xdr:cNvPr id="38" name="Straight Arrow Connector 43"/>
        <xdr:cNvSpPr>
          <a:spLocks/>
        </xdr:cNvSpPr>
      </xdr:nvSpPr>
      <xdr:spPr>
        <a:xfrm flipV="1">
          <a:off x="21821775" y="6505575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9525</xdr:colOff>
      <xdr:row>24</xdr:row>
      <xdr:rowOff>133350</xdr:rowOff>
    </xdr:from>
    <xdr:to>
      <xdr:col>39</xdr:col>
      <xdr:colOff>523875</xdr:colOff>
      <xdr:row>26</xdr:row>
      <xdr:rowOff>133350</xdr:rowOff>
    </xdr:to>
    <xdr:sp>
      <xdr:nvSpPr>
        <xdr:cNvPr id="39" name="Straight Arrow Connector 44"/>
        <xdr:cNvSpPr>
          <a:spLocks/>
        </xdr:cNvSpPr>
      </xdr:nvSpPr>
      <xdr:spPr>
        <a:xfrm>
          <a:off x="21821775" y="9048750"/>
          <a:ext cx="514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9525</xdr:colOff>
      <xdr:row>17</xdr:row>
      <xdr:rowOff>161925</xdr:rowOff>
    </xdr:from>
    <xdr:to>
      <xdr:col>39</xdr:col>
      <xdr:colOff>523875</xdr:colOff>
      <xdr:row>22</xdr:row>
      <xdr:rowOff>123825</xdr:rowOff>
    </xdr:to>
    <xdr:sp>
      <xdr:nvSpPr>
        <xdr:cNvPr id="40" name="Straight Arrow Connector 45"/>
        <xdr:cNvSpPr>
          <a:spLocks/>
        </xdr:cNvSpPr>
      </xdr:nvSpPr>
      <xdr:spPr>
        <a:xfrm rot="16200000" flipH="1">
          <a:off x="21821775" y="7077075"/>
          <a:ext cx="514350" cy="1390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9525</xdr:colOff>
      <xdr:row>19</xdr:row>
      <xdr:rowOff>161925</xdr:rowOff>
    </xdr:from>
    <xdr:to>
      <xdr:col>39</xdr:col>
      <xdr:colOff>523875</xdr:colOff>
      <xdr:row>24</xdr:row>
      <xdr:rowOff>133350</xdr:rowOff>
    </xdr:to>
    <xdr:sp>
      <xdr:nvSpPr>
        <xdr:cNvPr id="41" name="Straight Arrow Connector 46"/>
        <xdr:cNvSpPr>
          <a:spLocks/>
        </xdr:cNvSpPr>
      </xdr:nvSpPr>
      <xdr:spPr>
        <a:xfrm rot="5400000" flipH="1" flipV="1">
          <a:off x="21821775" y="7648575"/>
          <a:ext cx="514350" cy="1400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447675</xdr:colOff>
      <xdr:row>27</xdr:row>
      <xdr:rowOff>28575</xdr:rowOff>
    </xdr:from>
    <xdr:to>
      <xdr:col>40</xdr:col>
      <xdr:colOff>447675</xdr:colOff>
      <xdr:row>28</xdr:row>
      <xdr:rowOff>9525</xdr:rowOff>
    </xdr:to>
    <xdr:sp>
      <xdr:nvSpPr>
        <xdr:cNvPr id="42" name="Straight Arrow Connector 55"/>
        <xdr:cNvSpPr>
          <a:spLocks/>
        </xdr:cNvSpPr>
      </xdr:nvSpPr>
      <xdr:spPr>
        <a:xfrm rot="5400000" flipH="1" flipV="1">
          <a:off x="22783800" y="9801225"/>
          <a:ext cx="0" cy="26670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42</xdr:col>
      <xdr:colOff>333375</xdr:colOff>
      <xdr:row>27</xdr:row>
      <xdr:rowOff>9525</xdr:rowOff>
    </xdr:from>
    <xdr:to>
      <xdr:col>42</xdr:col>
      <xdr:colOff>333375</xdr:colOff>
      <xdr:row>27</xdr:row>
      <xdr:rowOff>285750</xdr:rowOff>
    </xdr:to>
    <xdr:sp>
      <xdr:nvSpPr>
        <xdr:cNvPr id="43" name="Straight Arrow Connector 56"/>
        <xdr:cNvSpPr>
          <a:spLocks/>
        </xdr:cNvSpPr>
      </xdr:nvSpPr>
      <xdr:spPr>
        <a:xfrm rot="5400000" flipH="1" flipV="1">
          <a:off x="23955375" y="9782175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44</xdr:col>
      <xdr:colOff>333375</xdr:colOff>
      <xdr:row>27</xdr:row>
      <xdr:rowOff>0</xdr:rowOff>
    </xdr:from>
    <xdr:to>
      <xdr:col>44</xdr:col>
      <xdr:colOff>333375</xdr:colOff>
      <xdr:row>27</xdr:row>
      <xdr:rowOff>276225</xdr:rowOff>
    </xdr:to>
    <xdr:sp>
      <xdr:nvSpPr>
        <xdr:cNvPr id="44" name="Straight Arrow Connector 57"/>
        <xdr:cNvSpPr>
          <a:spLocks/>
        </xdr:cNvSpPr>
      </xdr:nvSpPr>
      <xdr:spPr>
        <a:xfrm rot="5400000" flipH="1" flipV="1">
          <a:off x="24841200" y="9772650"/>
          <a:ext cx="0" cy="2762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285750</xdr:colOff>
      <xdr:row>13</xdr:row>
      <xdr:rowOff>152400</xdr:rowOff>
    </xdr:from>
    <xdr:to>
      <xdr:col>3</xdr:col>
      <xdr:colOff>9525</xdr:colOff>
      <xdr:row>29</xdr:row>
      <xdr:rowOff>133350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285750" y="5734050"/>
          <a:ext cx="1876425" cy="4743450"/>
        </a:xfrm>
        <a:prstGeom prst="rect">
          <a:avLst/>
        </a:prstGeom>
        <a:solidFill>
          <a:srgbClr val="FFFF99">
            <a:alpha val="80000"/>
          </a:srgbClr>
        </a:solidFill>
        <a:ln w="254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15</xdr:row>
      <xdr:rowOff>0</xdr:rowOff>
    </xdr:from>
    <xdr:to>
      <xdr:col>13</xdr:col>
      <xdr:colOff>123825</xdr:colOff>
      <xdr:row>16</xdr:row>
      <xdr:rowOff>0</xdr:rowOff>
    </xdr:to>
    <xdr:sp>
      <xdr:nvSpPr>
        <xdr:cNvPr id="1" name="Straight Arrow Connector 2"/>
        <xdr:cNvSpPr>
          <a:spLocks/>
        </xdr:cNvSpPr>
      </xdr:nvSpPr>
      <xdr:spPr>
        <a:xfrm rot="10800000" flipV="1">
          <a:off x="2381250" y="3343275"/>
          <a:ext cx="1924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32</xdr:col>
      <xdr:colOff>628650</xdr:colOff>
      <xdr:row>15</xdr:row>
      <xdr:rowOff>0</xdr:rowOff>
    </xdr:from>
    <xdr:to>
      <xdr:col>39</xdr:col>
      <xdr:colOff>133350</xdr:colOff>
      <xdr:row>16</xdr:row>
      <xdr:rowOff>0</xdr:rowOff>
    </xdr:to>
    <xdr:sp>
      <xdr:nvSpPr>
        <xdr:cNvPr id="2" name="Straight Arrow Connector 12"/>
        <xdr:cNvSpPr>
          <a:spLocks/>
        </xdr:cNvSpPr>
      </xdr:nvSpPr>
      <xdr:spPr>
        <a:xfrm rot="10800000" flipH="1" flipV="1">
          <a:off x="11039475" y="3343275"/>
          <a:ext cx="1924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17</xdr:row>
      <xdr:rowOff>9525</xdr:rowOff>
    </xdr:from>
    <xdr:to>
      <xdr:col>13</xdr:col>
      <xdr:colOff>123825</xdr:colOff>
      <xdr:row>18</xdr:row>
      <xdr:rowOff>9525</xdr:rowOff>
    </xdr:to>
    <xdr:sp>
      <xdr:nvSpPr>
        <xdr:cNvPr id="3" name="Straight Arrow Connector 62"/>
        <xdr:cNvSpPr>
          <a:spLocks/>
        </xdr:cNvSpPr>
      </xdr:nvSpPr>
      <xdr:spPr>
        <a:xfrm rot="10800000" flipV="1">
          <a:off x="2381250" y="4038600"/>
          <a:ext cx="1924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19</xdr:row>
      <xdr:rowOff>9525</xdr:rowOff>
    </xdr:from>
    <xdr:to>
      <xdr:col>13</xdr:col>
      <xdr:colOff>123825</xdr:colOff>
      <xdr:row>20</xdr:row>
      <xdr:rowOff>9525</xdr:rowOff>
    </xdr:to>
    <xdr:sp>
      <xdr:nvSpPr>
        <xdr:cNvPr id="4" name="Straight Arrow Connector 63"/>
        <xdr:cNvSpPr>
          <a:spLocks/>
        </xdr:cNvSpPr>
      </xdr:nvSpPr>
      <xdr:spPr>
        <a:xfrm rot="10800000" flipV="1">
          <a:off x="2381250" y="4724400"/>
          <a:ext cx="1924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21</xdr:row>
      <xdr:rowOff>28575</xdr:rowOff>
    </xdr:from>
    <xdr:to>
      <xdr:col>13</xdr:col>
      <xdr:colOff>123825</xdr:colOff>
      <xdr:row>22</xdr:row>
      <xdr:rowOff>28575</xdr:rowOff>
    </xdr:to>
    <xdr:sp>
      <xdr:nvSpPr>
        <xdr:cNvPr id="5" name="Straight Arrow Connector 64"/>
        <xdr:cNvSpPr>
          <a:spLocks/>
        </xdr:cNvSpPr>
      </xdr:nvSpPr>
      <xdr:spPr>
        <a:xfrm rot="10800000" flipV="1">
          <a:off x="2381250" y="5429250"/>
          <a:ext cx="1924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23</xdr:row>
      <xdr:rowOff>9525</xdr:rowOff>
    </xdr:from>
    <xdr:to>
      <xdr:col>13</xdr:col>
      <xdr:colOff>123825</xdr:colOff>
      <xdr:row>24</xdr:row>
      <xdr:rowOff>9525</xdr:rowOff>
    </xdr:to>
    <xdr:sp>
      <xdr:nvSpPr>
        <xdr:cNvPr id="6" name="Straight Arrow Connector 65"/>
        <xdr:cNvSpPr>
          <a:spLocks/>
        </xdr:cNvSpPr>
      </xdr:nvSpPr>
      <xdr:spPr>
        <a:xfrm rot="10800000" flipV="1">
          <a:off x="2381250" y="6096000"/>
          <a:ext cx="1924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25</xdr:row>
      <xdr:rowOff>9525</xdr:rowOff>
    </xdr:from>
    <xdr:to>
      <xdr:col>13</xdr:col>
      <xdr:colOff>123825</xdr:colOff>
      <xdr:row>26</xdr:row>
      <xdr:rowOff>9525</xdr:rowOff>
    </xdr:to>
    <xdr:sp>
      <xdr:nvSpPr>
        <xdr:cNvPr id="7" name="Straight Arrow Connector 66"/>
        <xdr:cNvSpPr>
          <a:spLocks/>
        </xdr:cNvSpPr>
      </xdr:nvSpPr>
      <xdr:spPr>
        <a:xfrm rot="10800000" flipV="1">
          <a:off x="2381250" y="6781800"/>
          <a:ext cx="1924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27</xdr:row>
      <xdr:rowOff>28575</xdr:rowOff>
    </xdr:from>
    <xdr:to>
      <xdr:col>13</xdr:col>
      <xdr:colOff>123825</xdr:colOff>
      <xdr:row>28</xdr:row>
      <xdr:rowOff>28575</xdr:rowOff>
    </xdr:to>
    <xdr:sp>
      <xdr:nvSpPr>
        <xdr:cNvPr id="8" name="Straight Arrow Connector 67"/>
        <xdr:cNvSpPr>
          <a:spLocks/>
        </xdr:cNvSpPr>
      </xdr:nvSpPr>
      <xdr:spPr>
        <a:xfrm rot="10800000" flipV="1">
          <a:off x="2381250" y="7486650"/>
          <a:ext cx="1924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29</xdr:row>
      <xdr:rowOff>38100</xdr:rowOff>
    </xdr:from>
    <xdr:to>
      <xdr:col>13</xdr:col>
      <xdr:colOff>123825</xdr:colOff>
      <xdr:row>29</xdr:row>
      <xdr:rowOff>304800</xdr:rowOff>
    </xdr:to>
    <xdr:sp>
      <xdr:nvSpPr>
        <xdr:cNvPr id="9" name="Straight Arrow Connector 68"/>
        <xdr:cNvSpPr>
          <a:spLocks/>
        </xdr:cNvSpPr>
      </xdr:nvSpPr>
      <xdr:spPr>
        <a:xfrm rot="10800000" flipV="1">
          <a:off x="2381250" y="8181975"/>
          <a:ext cx="192405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31</xdr:row>
      <xdr:rowOff>9525</xdr:rowOff>
    </xdr:from>
    <xdr:to>
      <xdr:col>14</xdr:col>
      <xdr:colOff>0</xdr:colOff>
      <xdr:row>32</xdr:row>
      <xdr:rowOff>0</xdr:rowOff>
    </xdr:to>
    <xdr:sp>
      <xdr:nvSpPr>
        <xdr:cNvPr id="10" name="Straight Arrow Connector 69"/>
        <xdr:cNvSpPr>
          <a:spLocks/>
        </xdr:cNvSpPr>
      </xdr:nvSpPr>
      <xdr:spPr>
        <a:xfrm rot="10800000" flipV="1">
          <a:off x="2381250" y="8839200"/>
          <a:ext cx="192405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33</xdr:row>
      <xdr:rowOff>28575</xdr:rowOff>
    </xdr:from>
    <xdr:to>
      <xdr:col>13</xdr:col>
      <xdr:colOff>123825</xdr:colOff>
      <xdr:row>33</xdr:row>
      <xdr:rowOff>342900</xdr:rowOff>
    </xdr:to>
    <xdr:sp>
      <xdr:nvSpPr>
        <xdr:cNvPr id="11" name="Straight Arrow Connector 71"/>
        <xdr:cNvSpPr>
          <a:spLocks/>
        </xdr:cNvSpPr>
      </xdr:nvSpPr>
      <xdr:spPr>
        <a:xfrm rot="10800000" flipV="1">
          <a:off x="2381250" y="9544050"/>
          <a:ext cx="19240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17</xdr:row>
      <xdr:rowOff>9525</xdr:rowOff>
    </xdr:from>
    <xdr:to>
      <xdr:col>40</xdr:col>
      <xdr:colOff>9525</xdr:colOff>
      <xdr:row>18</xdr:row>
      <xdr:rowOff>9525</xdr:rowOff>
    </xdr:to>
    <xdr:sp>
      <xdr:nvSpPr>
        <xdr:cNvPr id="12" name="Straight Arrow Connector 95"/>
        <xdr:cNvSpPr>
          <a:spLocks/>
        </xdr:cNvSpPr>
      </xdr:nvSpPr>
      <xdr:spPr>
        <a:xfrm rot="10800000" flipH="1" flipV="1">
          <a:off x="11049000" y="4038600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19</xdr:row>
      <xdr:rowOff>0</xdr:rowOff>
    </xdr:from>
    <xdr:to>
      <xdr:col>40</xdr:col>
      <xdr:colOff>9525</xdr:colOff>
      <xdr:row>20</xdr:row>
      <xdr:rowOff>0</xdr:rowOff>
    </xdr:to>
    <xdr:sp>
      <xdr:nvSpPr>
        <xdr:cNvPr id="13" name="Straight Arrow Connector 96"/>
        <xdr:cNvSpPr>
          <a:spLocks/>
        </xdr:cNvSpPr>
      </xdr:nvSpPr>
      <xdr:spPr>
        <a:xfrm rot="10800000" flipH="1" flipV="1">
          <a:off x="11049000" y="4714875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21</xdr:row>
      <xdr:rowOff>0</xdr:rowOff>
    </xdr:from>
    <xdr:to>
      <xdr:col>40</xdr:col>
      <xdr:colOff>9525</xdr:colOff>
      <xdr:row>22</xdr:row>
      <xdr:rowOff>0</xdr:rowOff>
    </xdr:to>
    <xdr:sp>
      <xdr:nvSpPr>
        <xdr:cNvPr id="14" name="Straight Arrow Connector 97"/>
        <xdr:cNvSpPr>
          <a:spLocks/>
        </xdr:cNvSpPr>
      </xdr:nvSpPr>
      <xdr:spPr>
        <a:xfrm rot="10800000" flipH="1" flipV="1">
          <a:off x="11049000" y="5400675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40</xdr:col>
      <xdr:colOff>9525</xdr:colOff>
      <xdr:row>24</xdr:row>
      <xdr:rowOff>0</xdr:rowOff>
    </xdr:to>
    <xdr:sp>
      <xdr:nvSpPr>
        <xdr:cNvPr id="15" name="Straight Arrow Connector 98"/>
        <xdr:cNvSpPr>
          <a:spLocks/>
        </xdr:cNvSpPr>
      </xdr:nvSpPr>
      <xdr:spPr>
        <a:xfrm rot="10800000" flipH="1" flipV="1">
          <a:off x="11049000" y="6086475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25</xdr:row>
      <xdr:rowOff>0</xdr:rowOff>
    </xdr:from>
    <xdr:to>
      <xdr:col>40</xdr:col>
      <xdr:colOff>9525</xdr:colOff>
      <xdr:row>26</xdr:row>
      <xdr:rowOff>0</xdr:rowOff>
    </xdr:to>
    <xdr:sp>
      <xdr:nvSpPr>
        <xdr:cNvPr id="16" name="Straight Arrow Connector 99"/>
        <xdr:cNvSpPr>
          <a:spLocks/>
        </xdr:cNvSpPr>
      </xdr:nvSpPr>
      <xdr:spPr>
        <a:xfrm rot="10800000" flipH="1" flipV="1">
          <a:off x="11049000" y="6772275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27</xdr:row>
      <xdr:rowOff>0</xdr:rowOff>
    </xdr:from>
    <xdr:to>
      <xdr:col>40</xdr:col>
      <xdr:colOff>9525</xdr:colOff>
      <xdr:row>28</xdr:row>
      <xdr:rowOff>0</xdr:rowOff>
    </xdr:to>
    <xdr:sp>
      <xdr:nvSpPr>
        <xdr:cNvPr id="17" name="Straight Arrow Connector 100"/>
        <xdr:cNvSpPr>
          <a:spLocks/>
        </xdr:cNvSpPr>
      </xdr:nvSpPr>
      <xdr:spPr>
        <a:xfrm rot="10800000" flipH="1" flipV="1">
          <a:off x="11049000" y="7458075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40</xdr:col>
      <xdr:colOff>9525</xdr:colOff>
      <xdr:row>30</xdr:row>
      <xdr:rowOff>0</xdr:rowOff>
    </xdr:to>
    <xdr:sp>
      <xdr:nvSpPr>
        <xdr:cNvPr id="18" name="Straight Arrow Connector 101"/>
        <xdr:cNvSpPr>
          <a:spLocks/>
        </xdr:cNvSpPr>
      </xdr:nvSpPr>
      <xdr:spPr>
        <a:xfrm rot="10800000" flipH="1" flipV="1">
          <a:off x="11049000" y="8143875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31</xdr:row>
      <xdr:rowOff>0</xdr:rowOff>
    </xdr:from>
    <xdr:to>
      <xdr:col>40</xdr:col>
      <xdr:colOff>9525</xdr:colOff>
      <xdr:row>32</xdr:row>
      <xdr:rowOff>0</xdr:rowOff>
    </xdr:to>
    <xdr:sp>
      <xdr:nvSpPr>
        <xdr:cNvPr id="19" name="Straight Arrow Connector 102"/>
        <xdr:cNvSpPr>
          <a:spLocks/>
        </xdr:cNvSpPr>
      </xdr:nvSpPr>
      <xdr:spPr>
        <a:xfrm rot="10800000" flipH="1" flipV="1">
          <a:off x="11049000" y="8829675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33</xdr:row>
      <xdr:rowOff>0</xdr:rowOff>
    </xdr:from>
    <xdr:to>
      <xdr:col>40</xdr:col>
      <xdr:colOff>9525</xdr:colOff>
      <xdr:row>34</xdr:row>
      <xdr:rowOff>0</xdr:rowOff>
    </xdr:to>
    <xdr:sp>
      <xdr:nvSpPr>
        <xdr:cNvPr id="20" name="Straight Arrow Connector 103"/>
        <xdr:cNvSpPr>
          <a:spLocks/>
        </xdr:cNvSpPr>
      </xdr:nvSpPr>
      <xdr:spPr>
        <a:xfrm rot="10800000" flipH="1" flipV="1">
          <a:off x="11049000" y="9515475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304800</xdr:rowOff>
    </xdr:from>
    <xdr:to>
      <xdr:col>21</xdr:col>
      <xdr:colOff>133350</xdr:colOff>
      <xdr:row>14</xdr:row>
      <xdr:rowOff>0</xdr:rowOff>
    </xdr:to>
    <xdr:sp>
      <xdr:nvSpPr>
        <xdr:cNvPr id="21" name="Straight Arrow Connector 122"/>
        <xdr:cNvSpPr>
          <a:spLocks/>
        </xdr:cNvSpPr>
      </xdr:nvSpPr>
      <xdr:spPr>
        <a:xfrm rot="10800000" flipV="1">
          <a:off x="4943475" y="2800350"/>
          <a:ext cx="191452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581025</xdr:colOff>
      <xdr:row>12</xdr:row>
      <xdr:rowOff>304800</xdr:rowOff>
    </xdr:from>
    <xdr:to>
      <xdr:col>32</xdr:col>
      <xdr:colOff>0</xdr:colOff>
      <xdr:row>13</xdr:row>
      <xdr:rowOff>190500</xdr:rowOff>
    </xdr:to>
    <xdr:sp>
      <xdr:nvSpPr>
        <xdr:cNvPr id="22" name="Straight Arrow Connector 124"/>
        <xdr:cNvSpPr>
          <a:spLocks/>
        </xdr:cNvSpPr>
      </xdr:nvSpPr>
      <xdr:spPr>
        <a:xfrm>
          <a:off x="8477250" y="2800350"/>
          <a:ext cx="193357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15</xdr:row>
      <xdr:rowOff>0</xdr:rowOff>
    </xdr:from>
    <xdr:to>
      <xdr:col>13</xdr:col>
      <xdr:colOff>123825</xdr:colOff>
      <xdr:row>16</xdr:row>
      <xdr:rowOff>0</xdr:rowOff>
    </xdr:to>
    <xdr:sp>
      <xdr:nvSpPr>
        <xdr:cNvPr id="1" name="Straight Arrow Connector 1"/>
        <xdr:cNvSpPr>
          <a:spLocks/>
        </xdr:cNvSpPr>
      </xdr:nvSpPr>
      <xdr:spPr>
        <a:xfrm rot="10800000" flipV="1">
          <a:off x="2381250" y="3419475"/>
          <a:ext cx="1924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32</xdr:col>
      <xdr:colOff>628650</xdr:colOff>
      <xdr:row>15</xdr:row>
      <xdr:rowOff>0</xdr:rowOff>
    </xdr:from>
    <xdr:to>
      <xdr:col>39</xdr:col>
      <xdr:colOff>133350</xdr:colOff>
      <xdr:row>16</xdr:row>
      <xdr:rowOff>0</xdr:rowOff>
    </xdr:to>
    <xdr:sp>
      <xdr:nvSpPr>
        <xdr:cNvPr id="2" name="Straight Arrow Connector 2"/>
        <xdr:cNvSpPr>
          <a:spLocks/>
        </xdr:cNvSpPr>
      </xdr:nvSpPr>
      <xdr:spPr>
        <a:xfrm rot="10800000" flipH="1" flipV="1">
          <a:off x="11039475" y="3419475"/>
          <a:ext cx="1924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17</xdr:row>
      <xdr:rowOff>9525</xdr:rowOff>
    </xdr:from>
    <xdr:to>
      <xdr:col>13</xdr:col>
      <xdr:colOff>123825</xdr:colOff>
      <xdr:row>18</xdr:row>
      <xdr:rowOff>9525</xdr:rowOff>
    </xdr:to>
    <xdr:sp>
      <xdr:nvSpPr>
        <xdr:cNvPr id="3" name="Straight Arrow Connector 4"/>
        <xdr:cNvSpPr>
          <a:spLocks/>
        </xdr:cNvSpPr>
      </xdr:nvSpPr>
      <xdr:spPr>
        <a:xfrm rot="10800000" flipV="1">
          <a:off x="2381250" y="4114800"/>
          <a:ext cx="1924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19</xdr:row>
      <xdr:rowOff>9525</xdr:rowOff>
    </xdr:from>
    <xdr:to>
      <xdr:col>13</xdr:col>
      <xdr:colOff>123825</xdr:colOff>
      <xdr:row>20</xdr:row>
      <xdr:rowOff>9525</xdr:rowOff>
    </xdr:to>
    <xdr:sp>
      <xdr:nvSpPr>
        <xdr:cNvPr id="4" name="Straight Arrow Connector 5"/>
        <xdr:cNvSpPr>
          <a:spLocks/>
        </xdr:cNvSpPr>
      </xdr:nvSpPr>
      <xdr:spPr>
        <a:xfrm rot="10800000" flipV="1">
          <a:off x="2381250" y="4800600"/>
          <a:ext cx="1924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21</xdr:row>
      <xdr:rowOff>28575</xdr:rowOff>
    </xdr:from>
    <xdr:to>
      <xdr:col>13</xdr:col>
      <xdr:colOff>123825</xdr:colOff>
      <xdr:row>22</xdr:row>
      <xdr:rowOff>28575</xdr:rowOff>
    </xdr:to>
    <xdr:sp>
      <xdr:nvSpPr>
        <xdr:cNvPr id="5" name="Straight Arrow Connector 6"/>
        <xdr:cNvSpPr>
          <a:spLocks/>
        </xdr:cNvSpPr>
      </xdr:nvSpPr>
      <xdr:spPr>
        <a:xfrm rot="10800000" flipV="1">
          <a:off x="2381250" y="5505450"/>
          <a:ext cx="1924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23</xdr:row>
      <xdr:rowOff>9525</xdr:rowOff>
    </xdr:from>
    <xdr:to>
      <xdr:col>13</xdr:col>
      <xdr:colOff>123825</xdr:colOff>
      <xdr:row>24</xdr:row>
      <xdr:rowOff>9525</xdr:rowOff>
    </xdr:to>
    <xdr:sp>
      <xdr:nvSpPr>
        <xdr:cNvPr id="6" name="Straight Arrow Connector 7"/>
        <xdr:cNvSpPr>
          <a:spLocks/>
        </xdr:cNvSpPr>
      </xdr:nvSpPr>
      <xdr:spPr>
        <a:xfrm rot="10800000" flipV="1">
          <a:off x="2381250" y="6172200"/>
          <a:ext cx="1924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25</xdr:row>
      <xdr:rowOff>9525</xdr:rowOff>
    </xdr:from>
    <xdr:to>
      <xdr:col>13</xdr:col>
      <xdr:colOff>123825</xdr:colOff>
      <xdr:row>26</xdr:row>
      <xdr:rowOff>9525</xdr:rowOff>
    </xdr:to>
    <xdr:sp>
      <xdr:nvSpPr>
        <xdr:cNvPr id="7" name="Straight Arrow Connector 8"/>
        <xdr:cNvSpPr>
          <a:spLocks/>
        </xdr:cNvSpPr>
      </xdr:nvSpPr>
      <xdr:spPr>
        <a:xfrm rot="10800000" flipV="1">
          <a:off x="2381250" y="6858000"/>
          <a:ext cx="1924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27</xdr:row>
      <xdr:rowOff>28575</xdr:rowOff>
    </xdr:from>
    <xdr:to>
      <xdr:col>13</xdr:col>
      <xdr:colOff>123825</xdr:colOff>
      <xdr:row>28</xdr:row>
      <xdr:rowOff>28575</xdr:rowOff>
    </xdr:to>
    <xdr:sp>
      <xdr:nvSpPr>
        <xdr:cNvPr id="8" name="Straight Arrow Connector 9"/>
        <xdr:cNvSpPr>
          <a:spLocks/>
        </xdr:cNvSpPr>
      </xdr:nvSpPr>
      <xdr:spPr>
        <a:xfrm rot="10800000" flipV="1">
          <a:off x="2381250" y="7562850"/>
          <a:ext cx="1924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29</xdr:row>
      <xdr:rowOff>38100</xdr:rowOff>
    </xdr:from>
    <xdr:to>
      <xdr:col>13</xdr:col>
      <xdr:colOff>123825</xdr:colOff>
      <xdr:row>29</xdr:row>
      <xdr:rowOff>304800</xdr:rowOff>
    </xdr:to>
    <xdr:sp>
      <xdr:nvSpPr>
        <xdr:cNvPr id="9" name="Straight Arrow Connector 10"/>
        <xdr:cNvSpPr>
          <a:spLocks/>
        </xdr:cNvSpPr>
      </xdr:nvSpPr>
      <xdr:spPr>
        <a:xfrm rot="10800000" flipV="1">
          <a:off x="2381250" y="8258175"/>
          <a:ext cx="192405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31</xdr:row>
      <xdr:rowOff>9525</xdr:rowOff>
    </xdr:from>
    <xdr:to>
      <xdr:col>14</xdr:col>
      <xdr:colOff>0</xdr:colOff>
      <xdr:row>32</xdr:row>
      <xdr:rowOff>0</xdr:rowOff>
    </xdr:to>
    <xdr:sp>
      <xdr:nvSpPr>
        <xdr:cNvPr id="10" name="Straight Arrow Connector 11"/>
        <xdr:cNvSpPr>
          <a:spLocks/>
        </xdr:cNvSpPr>
      </xdr:nvSpPr>
      <xdr:spPr>
        <a:xfrm rot="10800000" flipV="1">
          <a:off x="2381250" y="8915400"/>
          <a:ext cx="192405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590550</xdr:colOff>
      <xdr:row>33</xdr:row>
      <xdr:rowOff>28575</xdr:rowOff>
    </xdr:from>
    <xdr:to>
      <xdr:col>13</xdr:col>
      <xdr:colOff>123825</xdr:colOff>
      <xdr:row>33</xdr:row>
      <xdr:rowOff>342900</xdr:rowOff>
    </xdr:to>
    <xdr:sp>
      <xdr:nvSpPr>
        <xdr:cNvPr id="11" name="Straight Arrow Connector 12"/>
        <xdr:cNvSpPr>
          <a:spLocks/>
        </xdr:cNvSpPr>
      </xdr:nvSpPr>
      <xdr:spPr>
        <a:xfrm rot="10800000" flipV="1">
          <a:off x="2381250" y="9620250"/>
          <a:ext cx="19240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17</xdr:row>
      <xdr:rowOff>9525</xdr:rowOff>
    </xdr:from>
    <xdr:to>
      <xdr:col>40</xdr:col>
      <xdr:colOff>9525</xdr:colOff>
      <xdr:row>18</xdr:row>
      <xdr:rowOff>9525</xdr:rowOff>
    </xdr:to>
    <xdr:sp>
      <xdr:nvSpPr>
        <xdr:cNvPr id="12" name="Straight Arrow Connector 13"/>
        <xdr:cNvSpPr>
          <a:spLocks/>
        </xdr:cNvSpPr>
      </xdr:nvSpPr>
      <xdr:spPr>
        <a:xfrm rot="10800000" flipH="1" flipV="1">
          <a:off x="11049000" y="4114800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19</xdr:row>
      <xdr:rowOff>0</xdr:rowOff>
    </xdr:from>
    <xdr:to>
      <xdr:col>40</xdr:col>
      <xdr:colOff>9525</xdr:colOff>
      <xdr:row>20</xdr:row>
      <xdr:rowOff>0</xdr:rowOff>
    </xdr:to>
    <xdr:sp>
      <xdr:nvSpPr>
        <xdr:cNvPr id="13" name="Straight Arrow Connector 14"/>
        <xdr:cNvSpPr>
          <a:spLocks/>
        </xdr:cNvSpPr>
      </xdr:nvSpPr>
      <xdr:spPr>
        <a:xfrm rot="10800000" flipH="1" flipV="1">
          <a:off x="11049000" y="4791075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21</xdr:row>
      <xdr:rowOff>0</xdr:rowOff>
    </xdr:from>
    <xdr:to>
      <xdr:col>40</xdr:col>
      <xdr:colOff>9525</xdr:colOff>
      <xdr:row>22</xdr:row>
      <xdr:rowOff>0</xdr:rowOff>
    </xdr:to>
    <xdr:sp>
      <xdr:nvSpPr>
        <xdr:cNvPr id="14" name="Straight Arrow Connector 15"/>
        <xdr:cNvSpPr>
          <a:spLocks/>
        </xdr:cNvSpPr>
      </xdr:nvSpPr>
      <xdr:spPr>
        <a:xfrm rot="10800000" flipH="1" flipV="1">
          <a:off x="11049000" y="5476875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40</xdr:col>
      <xdr:colOff>9525</xdr:colOff>
      <xdr:row>24</xdr:row>
      <xdr:rowOff>0</xdr:rowOff>
    </xdr:to>
    <xdr:sp>
      <xdr:nvSpPr>
        <xdr:cNvPr id="15" name="Straight Arrow Connector 16"/>
        <xdr:cNvSpPr>
          <a:spLocks/>
        </xdr:cNvSpPr>
      </xdr:nvSpPr>
      <xdr:spPr>
        <a:xfrm rot="10800000" flipH="1" flipV="1">
          <a:off x="11049000" y="6162675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25</xdr:row>
      <xdr:rowOff>0</xdr:rowOff>
    </xdr:from>
    <xdr:to>
      <xdr:col>40</xdr:col>
      <xdr:colOff>9525</xdr:colOff>
      <xdr:row>26</xdr:row>
      <xdr:rowOff>0</xdr:rowOff>
    </xdr:to>
    <xdr:sp>
      <xdr:nvSpPr>
        <xdr:cNvPr id="16" name="Straight Arrow Connector 17"/>
        <xdr:cNvSpPr>
          <a:spLocks/>
        </xdr:cNvSpPr>
      </xdr:nvSpPr>
      <xdr:spPr>
        <a:xfrm rot="10800000" flipH="1" flipV="1">
          <a:off x="11049000" y="6848475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27</xdr:row>
      <xdr:rowOff>0</xdr:rowOff>
    </xdr:from>
    <xdr:to>
      <xdr:col>40</xdr:col>
      <xdr:colOff>9525</xdr:colOff>
      <xdr:row>28</xdr:row>
      <xdr:rowOff>0</xdr:rowOff>
    </xdr:to>
    <xdr:sp>
      <xdr:nvSpPr>
        <xdr:cNvPr id="17" name="Straight Arrow Connector 18"/>
        <xdr:cNvSpPr>
          <a:spLocks/>
        </xdr:cNvSpPr>
      </xdr:nvSpPr>
      <xdr:spPr>
        <a:xfrm rot="10800000" flipH="1" flipV="1">
          <a:off x="11049000" y="7534275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40</xdr:col>
      <xdr:colOff>9525</xdr:colOff>
      <xdr:row>30</xdr:row>
      <xdr:rowOff>0</xdr:rowOff>
    </xdr:to>
    <xdr:sp>
      <xdr:nvSpPr>
        <xdr:cNvPr id="18" name="Straight Arrow Connector 19"/>
        <xdr:cNvSpPr>
          <a:spLocks/>
        </xdr:cNvSpPr>
      </xdr:nvSpPr>
      <xdr:spPr>
        <a:xfrm rot="10800000" flipH="1" flipV="1">
          <a:off x="11049000" y="8220075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31</xdr:row>
      <xdr:rowOff>0</xdr:rowOff>
    </xdr:from>
    <xdr:to>
      <xdr:col>40</xdr:col>
      <xdr:colOff>9525</xdr:colOff>
      <xdr:row>32</xdr:row>
      <xdr:rowOff>0</xdr:rowOff>
    </xdr:to>
    <xdr:sp>
      <xdr:nvSpPr>
        <xdr:cNvPr id="19" name="Straight Arrow Connector 20"/>
        <xdr:cNvSpPr>
          <a:spLocks/>
        </xdr:cNvSpPr>
      </xdr:nvSpPr>
      <xdr:spPr>
        <a:xfrm rot="10800000" flipH="1" flipV="1">
          <a:off x="11049000" y="8905875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0</xdr:colOff>
      <xdr:row>33</xdr:row>
      <xdr:rowOff>0</xdr:rowOff>
    </xdr:from>
    <xdr:to>
      <xdr:col>40</xdr:col>
      <xdr:colOff>9525</xdr:colOff>
      <xdr:row>34</xdr:row>
      <xdr:rowOff>0</xdr:rowOff>
    </xdr:to>
    <xdr:sp>
      <xdr:nvSpPr>
        <xdr:cNvPr id="20" name="Straight Arrow Connector 21"/>
        <xdr:cNvSpPr>
          <a:spLocks/>
        </xdr:cNvSpPr>
      </xdr:nvSpPr>
      <xdr:spPr>
        <a:xfrm rot="10800000" flipH="1" flipV="1">
          <a:off x="11049000" y="9591675"/>
          <a:ext cx="19335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304800</xdr:rowOff>
    </xdr:from>
    <xdr:to>
      <xdr:col>21</xdr:col>
      <xdr:colOff>133350</xdr:colOff>
      <xdr:row>14</xdr:row>
      <xdr:rowOff>0</xdr:rowOff>
    </xdr:to>
    <xdr:sp>
      <xdr:nvSpPr>
        <xdr:cNvPr id="21" name="Straight Arrow Connector 39"/>
        <xdr:cNvSpPr>
          <a:spLocks/>
        </xdr:cNvSpPr>
      </xdr:nvSpPr>
      <xdr:spPr>
        <a:xfrm rot="10800000" flipV="1">
          <a:off x="4943475" y="2867025"/>
          <a:ext cx="1914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581025</xdr:colOff>
      <xdr:row>12</xdr:row>
      <xdr:rowOff>304800</xdr:rowOff>
    </xdr:from>
    <xdr:to>
      <xdr:col>32</xdr:col>
      <xdr:colOff>0</xdr:colOff>
      <xdr:row>13</xdr:row>
      <xdr:rowOff>200025</xdr:rowOff>
    </xdr:to>
    <xdr:sp>
      <xdr:nvSpPr>
        <xdr:cNvPr id="22" name="Straight Arrow Connector 40"/>
        <xdr:cNvSpPr>
          <a:spLocks/>
        </xdr:cNvSpPr>
      </xdr:nvSpPr>
      <xdr:spPr>
        <a:xfrm>
          <a:off x="8477250" y="2867025"/>
          <a:ext cx="193357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7"/>
  <sheetViews>
    <sheetView tabSelected="1" zoomScale="80" zoomScaleNormal="80" workbookViewId="0" topLeftCell="A1">
      <selection activeCell="M9" sqref="M9"/>
    </sheetView>
  </sheetViews>
  <sheetFormatPr defaultColWidth="11.00390625" defaultRowHeight="12.75"/>
  <cols>
    <col min="1" max="1" width="5.25390625" style="2" bestFit="1" customWidth="1"/>
    <col min="2" max="2" width="11.375" style="2" customWidth="1"/>
    <col min="3" max="4" width="11.625" style="1" bestFit="1" customWidth="1"/>
    <col min="5" max="6" width="7.00390625" style="1" customWidth="1"/>
    <col min="7" max="7" width="7.75390625" style="1" customWidth="1"/>
    <col min="8" max="8" width="6.875" style="1" customWidth="1"/>
    <col min="9" max="9" width="2.25390625" style="1" customWidth="1"/>
    <col min="10" max="10" width="3.00390625" style="1" bestFit="1" customWidth="1"/>
    <col min="11" max="11" width="7.875" style="1" bestFit="1" customWidth="1"/>
    <col min="12" max="12" width="3.00390625" style="1" bestFit="1" customWidth="1"/>
    <col min="13" max="13" width="8.375" style="1" customWidth="1"/>
    <col min="14" max="14" width="3.75390625" style="2" bestFit="1" customWidth="1"/>
    <col min="15" max="15" width="9.875" style="22" bestFit="1" customWidth="1"/>
    <col min="16" max="16" width="6.875" style="2" customWidth="1"/>
    <col min="17" max="17" width="10.75390625" style="31" bestFit="1" customWidth="1"/>
    <col min="18" max="18" width="3.00390625" style="2" bestFit="1" customWidth="1"/>
    <col min="19" max="19" width="8.625" style="2" customWidth="1"/>
    <col min="20" max="20" width="3.00390625" style="2" bestFit="1" customWidth="1"/>
    <col min="21" max="21" width="8.625" style="2" customWidth="1"/>
    <col min="22" max="22" width="3.75390625" style="2" bestFit="1" customWidth="1"/>
    <col min="23" max="23" width="11.875" style="22" bestFit="1" customWidth="1"/>
    <col min="24" max="24" width="6.875" style="2" customWidth="1"/>
    <col min="25" max="25" width="11.875" style="2" bestFit="1" customWidth="1"/>
    <col min="26" max="26" width="3.00390625" style="2" bestFit="1" customWidth="1"/>
    <col min="27" max="27" width="8.625" style="2" customWidth="1"/>
    <col min="28" max="28" width="3.00390625" style="2" bestFit="1" customWidth="1"/>
    <col min="29" max="29" width="8.625" style="2" customWidth="1"/>
    <col min="30" max="30" width="3.75390625" style="2" bestFit="1" customWidth="1"/>
    <col min="31" max="31" width="14.25390625" style="46" bestFit="1" customWidth="1"/>
    <col min="32" max="32" width="6.875" style="2" customWidth="1"/>
    <col min="33" max="33" width="14.75390625" style="46" bestFit="1" customWidth="1"/>
    <col min="34" max="34" width="3.00390625" style="2" customWidth="1"/>
    <col min="35" max="35" width="8.625" style="2" customWidth="1"/>
    <col min="36" max="36" width="3.00390625" style="2" customWidth="1"/>
    <col min="37" max="37" width="8.625" style="2" customWidth="1"/>
    <col min="38" max="38" width="3.75390625" style="2" customWidth="1"/>
    <col min="39" max="39" width="14.25390625" style="46" bestFit="1" customWidth="1"/>
    <col min="40" max="40" width="6.875" style="2" customWidth="1"/>
    <col min="41" max="41" width="13.875" style="46" customWidth="1"/>
    <col min="42" max="42" width="3.00390625" style="2" customWidth="1"/>
    <col min="43" max="43" width="8.625" style="2" customWidth="1"/>
    <col min="44" max="44" width="3.00390625" style="2" customWidth="1"/>
    <col min="45" max="45" width="8.625" style="2" customWidth="1"/>
    <col min="46" max="46" width="3.75390625" style="2" customWidth="1"/>
    <col min="47" max="47" width="14.25390625" style="46" bestFit="1" customWidth="1"/>
    <col min="48" max="48" width="6.875" style="2" customWidth="1"/>
    <col min="49" max="49" width="14.25390625" style="46" bestFit="1" customWidth="1"/>
    <col min="50" max="50" width="3.00390625" style="2" customWidth="1"/>
    <col min="51" max="51" width="8.625" style="2" customWidth="1"/>
    <col min="52" max="52" width="3.00390625" style="2" customWidth="1"/>
    <col min="53" max="53" width="8.625" style="2" customWidth="1"/>
    <col min="54" max="54" width="3.75390625" style="2" customWidth="1"/>
    <col min="55" max="55" width="14.75390625" style="46" bestFit="1" customWidth="1"/>
    <col min="56" max="56" width="10.75390625" style="2" customWidth="1"/>
    <col min="57" max="57" width="13.875" style="0" bestFit="1" customWidth="1"/>
    <col min="58" max="16384" width="10.75390625" style="2" customWidth="1"/>
  </cols>
  <sheetData>
    <row r="1" ht="45">
      <c r="A1" s="79" t="s">
        <v>56</v>
      </c>
    </row>
    <row r="2" ht="15" customHeight="1">
      <c r="A2" s="78"/>
    </row>
    <row r="3" ht="34.5">
      <c r="A3" s="78" t="s">
        <v>55</v>
      </c>
    </row>
    <row r="4" ht="34.5">
      <c r="A4" s="78" t="s">
        <v>16</v>
      </c>
    </row>
    <row r="5" ht="34.5">
      <c r="A5" s="78" t="s">
        <v>53</v>
      </c>
    </row>
    <row r="6" ht="24.75">
      <c r="A6" s="234" t="s">
        <v>17</v>
      </c>
    </row>
    <row r="7" ht="12.75" customHeight="1" thickBot="1"/>
    <row r="8" spans="1:15" ht="36" thickBot="1">
      <c r="A8" s="209" t="s">
        <v>14</v>
      </c>
      <c r="B8" s="210"/>
      <c r="C8" s="210"/>
      <c r="D8" s="211"/>
      <c r="E8" s="7"/>
      <c r="F8" s="7"/>
      <c r="G8" s="230" t="s">
        <v>15</v>
      </c>
      <c r="H8" s="7"/>
      <c r="M8" s="231" t="b">
        <v>0</v>
      </c>
      <c r="N8" s="232"/>
      <c r="O8" s="233"/>
    </row>
    <row r="9" spans="1:8" ht="34.5">
      <c r="A9" s="64"/>
      <c r="B9" s="65" t="s">
        <v>60</v>
      </c>
      <c r="C9" s="66" t="s">
        <v>61</v>
      </c>
      <c r="D9" s="67" t="s">
        <v>2</v>
      </c>
      <c r="E9" s="10"/>
      <c r="G9" s="10"/>
      <c r="H9" s="10"/>
    </row>
    <row r="10" spans="1:8" ht="34.5">
      <c r="A10" s="68" t="s">
        <v>0</v>
      </c>
      <c r="B10" s="69">
        <f>0.52</f>
        <v>0.52</v>
      </c>
      <c r="C10" s="70">
        <f>1-B10</f>
        <v>0.48</v>
      </c>
      <c r="D10" s="71"/>
      <c r="E10" s="8"/>
      <c r="G10" s="8"/>
      <c r="H10" s="8"/>
    </row>
    <row r="11" spans="1:8" ht="34.5">
      <c r="A11" s="68" t="s">
        <v>60</v>
      </c>
      <c r="B11" s="69">
        <v>0.6</v>
      </c>
      <c r="C11" s="70">
        <f>1-B11</f>
        <v>0.4</v>
      </c>
      <c r="D11" s="72">
        <v>0.5</v>
      </c>
      <c r="E11" s="8"/>
      <c r="F11" s="8"/>
      <c r="G11" s="8"/>
      <c r="H11" s="8"/>
    </row>
    <row r="12" spans="1:4" ht="36" thickBot="1">
      <c r="A12" s="73" t="s">
        <v>61</v>
      </c>
      <c r="B12" s="74">
        <v>0.17</v>
      </c>
      <c r="C12" s="75">
        <f>1-B12</f>
        <v>0.83</v>
      </c>
      <c r="D12" s="76">
        <f>1/6</f>
        <v>0.16666666666666666</v>
      </c>
    </row>
    <row r="13" spans="1:8" ht="13.5" customHeight="1" thickBot="1">
      <c r="A13" s="11"/>
      <c r="B13" s="38"/>
      <c r="C13" s="19"/>
      <c r="D13" s="19"/>
      <c r="F13" s="2"/>
      <c r="G13" s="80"/>
      <c r="H13" s="80"/>
    </row>
    <row r="14" spans="5:57" s="81" customFormat="1" ht="37.5" thickBot="1">
      <c r="E14" s="87" t="s">
        <v>57</v>
      </c>
      <c r="F14" s="231">
        <v>316664</v>
      </c>
      <c r="G14" s="232"/>
      <c r="H14" s="233"/>
      <c r="K14" s="82">
        <f>MID($F$14,(COLUMN()-3)/8,1)+0</f>
        <v>3</v>
      </c>
      <c r="O14" s="83"/>
      <c r="Q14" s="84"/>
      <c r="S14" s="82">
        <f>MID($F$14,(COLUMN()-3)/8,1)+0</f>
        <v>1</v>
      </c>
      <c r="W14" s="83"/>
      <c r="AA14" s="82">
        <f>MID($F$14,(COLUMN()-3)/8,1)+0</f>
        <v>6</v>
      </c>
      <c r="AE14" s="85"/>
      <c r="AG14" s="85"/>
      <c r="AI14" s="82">
        <f>MID($F$14,(COLUMN()-3)/8,1)+0</f>
        <v>6</v>
      </c>
      <c r="AM14" s="85"/>
      <c r="AO14" s="85"/>
      <c r="AQ14" s="82">
        <f>MID($F$14,(COLUMN()-3)/8,1)+0</f>
        <v>6</v>
      </c>
      <c r="AU14" s="85"/>
      <c r="AW14" s="85"/>
      <c r="AY14" s="82">
        <f>MID($F$14,(COLUMN()-3)/8,1)+0</f>
        <v>4</v>
      </c>
      <c r="BC14" s="85"/>
      <c r="BE14" s="86"/>
    </row>
    <row r="15" spans="17:21" ht="15" customHeight="1" thickBot="1">
      <c r="Q15" s="32"/>
      <c r="R15" s="1"/>
      <c r="S15" s="1"/>
      <c r="T15" s="1"/>
      <c r="U15" s="1"/>
    </row>
    <row r="16" spans="3:57" s="11" customFormat="1" ht="22.5" customHeight="1">
      <c r="C16" s="7"/>
      <c r="D16" s="7"/>
      <c r="E16" s="7"/>
      <c r="F16" s="7"/>
      <c r="G16" s="7"/>
      <c r="H16" s="7"/>
      <c r="I16" s="51"/>
      <c r="J16" s="5"/>
      <c r="K16" s="17"/>
      <c r="L16" s="5"/>
      <c r="M16" s="17"/>
      <c r="N16" s="5"/>
      <c r="O16" s="47"/>
      <c r="Q16" s="58">
        <f>O18</f>
        <v>0.052000000000000005</v>
      </c>
      <c r="R16" s="5" t="s">
        <v>58</v>
      </c>
      <c r="S16" s="17">
        <f>$B$11</f>
        <v>0.6</v>
      </c>
      <c r="T16" s="5" t="s">
        <v>58</v>
      </c>
      <c r="U16" s="17">
        <f>IF(S$14=6,$D$11,(1-$D$11)/5)</f>
        <v>0.1</v>
      </c>
      <c r="V16" s="5" t="s">
        <v>59</v>
      </c>
      <c r="W16" s="40">
        <f>Q16*S16*U16</f>
        <v>0.0031200000000000004</v>
      </c>
      <c r="Y16" s="61">
        <f>W18</f>
        <v>0.0031200000000000004</v>
      </c>
      <c r="Z16" s="5" t="s">
        <v>58</v>
      </c>
      <c r="AA16" s="17">
        <f>$B$11</f>
        <v>0.6</v>
      </c>
      <c r="AB16" s="5" t="s">
        <v>58</v>
      </c>
      <c r="AC16" s="17">
        <f>IF(AA$14=6,$D$11,(1-$D$11)/5)</f>
        <v>0.5</v>
      </c>
      <c r="AD16" s="5" t="s">
        <v>59</v>
      </c>
      <c r="AE16" s="47">
        <f>Y16*AA16*AC16</f>
        <v>0.0009360000000000001</v>
      </c>
      <c r="AG16" s="51">
        <f>AE18</f>
        <v>0.0009406666666666668</v>
      </c>
      <c r="AH16" s="5" t="s">
        <v>58</v>
      </c>
      <c r="AI16" s="17">
        <f>$B$11</f>
        <v>0.6</v>
      </c>
      <c r="AJ16" s="5" t="s">
        <v>58</v>
      </c>
      <c r="AK16" s="17">
        <f>IF(AI$14=6,$D$11,(1-$D$11)/5)</f>
        <v>0.5</v>
      </c>
      <c r="AL16" s="5" t="s">
        <v>59</v>
      </c>
      <c r="AM16" s="47">
        <f>AG16*AI16*AK16</f>
        <v>0.00028220000000000003</v>
      </c>
      <c r="AO16" s="51">
        <f>AM18</f>
        <v>0.00028220000000000003</v>
      </c>
      <c r="AP16" s="5" t="s">
        <v>58</v>
      </c>
      <c r="AQ16" s="17">
        <f>$B$11</f>
        <v>0.6</v>
      </c>
      <c r="AR16" s="5" t="s">
        <v>58</v>
      </c>
      <c r="AS16" s="17">
        <f>IF(AQ$14=6,$D$11,(1-$D$11)/5)</f>
        <v>0.5</v>
      </c>
      <c r="AT16" s="5" t="s">
        <v>59</v>
      </c>
      <c r="AU16" s="47">
        <f>AO16*AQ16*AS16</f>
        <v>8.466E-05</v>
      </c>
      <c r="AW16" s="51">
        <f>AU18</f>
        <v>8.466E-05</v>
      </c>
      <c r="AX16" s="5" t="s">
        <v>58</v>
      </c>
      <c r="AY16" s="17">
        <f>$B$11</f>
        <v>0.6</v>
      </c>
      <c r="AZ16" s="5" t="s">
        <v>58</v>
      </c>
      <c r="BA16" s="17">
        <f>IF(AY$14=6,$D$11,(1-$D$11)/5)</f>
        <v>0.1</v>
      </c>
      <c r="BB16" s="5" t="s">
        <v>59</v>
      </c>
      <c r="BC16" s="47">
        <f>AW16*AY16*BA16</f>
        <v>5.0796000000000005E-06</v>
      </c>
      <c r="BE16"/>
    </row>
    <row r="17" spans="3:57" s="11" customFormat="1" ht="22.5" customHeight="1">
      <c r="C17" s="7"/>
      <c r="D17" s="7"/>
      <c r="E17" s="7"/>
      <c r="F17" s="7"/>
      <c r="G17" s="7"/>
      <c r="H17" s="7"/>
      <c r="I17" s="52"/>
      <c r="J17" s="7"/>
      <c r="K17" s="19"/>
      <c r="L17" s="7"/>
      <c r="M17" s="19"/>
      <c r="N17" s="7"/>
      <c r="O17" s="48"/>
      <c r="Q17" s="59"/>
      <c r="R17" s="7"/>
      <c r="S17" s="19"/>
      <c r="T17" s="7"/>
      <c r="U17" s="19"/>
      <c r="V17" s="7"/>
      <c r="W17" s="41"/>
      <c r="Y17" s="62"/>
      <c r="Z17" s="7"/>
      <c r="AA17" s="19"/>
      <c r="AB17" s="7"/>
      <c r="AC17" s="19"/>
      <c r="AD17" s="7"/>
      <c r="AE17" s="48"/>
      <c r="AG17" s="52"/>
      <c r="AH17" s="7"/>
      <c r="AI17" s="19"/>
      <c r="AJ17" s="7"/>
      <c r="AK17" s="19"/>
      <c r="AL17" s="7"/>
      <c r="AM17" s="48"/>
      <c r="AO17" s="52"/>
      <c r="AP17" s="7"/>
      <c r="AQ17" s="19"/>
      <c r="AR17" s="7"/>
      <c r="AS17" s="19"/>
      <c r="AT17" s="7"/>
      <c r="AU17" s="48"/>
      <c r="AW17" s="52"/>
      <c r="AX17" s="7"/>
      <c r="AY17" s="19"/>
      <c r="AZ17" s="7"/>
      <c r="BA17" s="19"/>
      <c r="BB17" s="7"/>
      <c r="BC17" s="48"/>
      <c r="BE17"/>
    </row>
    <row r="18" spans="3:57" s="11" customFormat="1" ht="22.5" customHeight="1">
      <c r="C18" s="7"/>
      <c r="D18" s="7"/>
      <c r="E18" s="88" t="s">
        <v>4</v>
      </c>
      <c r="F18" s="7"/>
      <c r="G18" s="56">
        <f>B10</f>
        <v>0.52</v>
      </c>
      <c r="H18" s="7"/>
      <c r="I18" s="212">
        <f>G18</f>
        <v>0.52</v>
      </c>
      <c r="J18" s="213"/>
      <c r="K18" s="213"/>
      <c r="L18" s="7" t="s">
        <v>58</v>
      </c>
      <c r="M18" s="20">
        <f>IF(K$14=6,$D$11,(1-$D$11)/5)</f>
        <v>0.1</v>
      </c>
      <c r="N18" s="7" t="s">
        <v>59</v>
      </c>
      <c r="O18" s="39">
        <f>I18*M18</f>
        <v>0.052000000000000005</v>
      </c>
      <c r="Q18" s="59"/>
      <c r="R18" s="7"/>
      <c r="S18" s="19"/>
      <c r="T18" s="7"/>
      <c r="U18" s="20" t="s">
        <v>1</v>
      </c>
      <c r="V18" s="7" t="s">
        <v>59</v>
      </c>
      <c r="W18" s="41">
        <f>MAX(W16,W20)</f>
        <v>0.0031200000000000004</v>
      </c>
      <c r="Y18" s="62"/>
      <c r="Z18" s="7"/>
      <c r="AA18" s="19"/>
      <c r="AB18" s="7"/>
      <c r="AC18" s="20" t="s">
        <v>1</v>
      </c>
      <c r="AD18" s="7" t="s">
        <v>59</v>
      </c>
      <c r="AE18" s="48">
        <f>MAX(AE16,AE20)</f>
        <v>0.0009406666666666668</v>
      </c>
      <c r="AG18" s="52"/>
      <c r="AH18" s="7"/>
      <c r="AI18" s="19"/>
      <c r="AJ18" s="7"/>
      <c r="AK18" s="20" t="s">
        <v>1</v>
      </c>
      <c r="AL18" s="7" t="s">
        <v>59</v>
      </c>
      <c r="AM18" s="48">
        <f>MAX(AM16,AM20)</f>
        <v>0.00028220000000000003</v>
      </c>
      <c r="AO18" s="52"/>
      <c r="AP18" s="7"/>
      <c r="AQ18" s="19"/>
      <c r="AR18" s="7"/>
      <c r="AS18" s="20" t="s">
        <v>1</v>
      </c>
      <c r="AT18" s="7" t="s">
        <v>59</v>
      </c>
      <c r="AU18" s="48">
        <f>MAX(AU16,AU20)</f>
        <v>8.466E-05</v>
      </c>
      <c r="AW18" s="52"/>
      <c r="AX18" s="7"/>
      <c r="AY18" s="19"/>
      <c r="AZ18" s="7"/>
      <c r="BA18" s="20" t="s">
        <v>1</v>
      </c>
      <c r="BB18" s="7" t="s">
        <v>59</v>
      </c>
      <c r="BC18" s="48">
        <f>MAX(BC16,BC20)</f>
        <v>5.0796000000000005E-06</v>
      </c>
      <c r="BE18"/>
    </row>
    <row r="19" spans="3:57" s="11" customFormat="1" ht="22.5" customHeight="1">
      <c r="C19" s="7"/>
      <c r="D19" s="7"/>
      <c r="E19" s="88"/>
      <c r="F19" s="7"/>
      <c r="G19" s="19"/>
      <c r="H19" s="7"/>
      <c r="I19" s="52"/>
      <c r="J19" s="7"/>
      <c r="K19" s="19"/>
      <c r="L19" s="7"/>
      <c r="M19" s="20"/>
      <c r="N19" s="7"/>
      <c r="O19" s="48"/>
      <c r="Q19" s="59"/>
      <c r="R19" s="7"/>
      <c r="S19" s="19"/>
      <c r="T19" s="7"/>
      <c r="U19" s="20"/>
      <c r="V19" s="7"/>
      <c r="W19" s="41"/>
      <c r="Y19" s="62"/>
      <c r="Z19" s="7"/>
      <c r="AA19" s="19"/>
      <c r="AB19" s="7"/>
      <c r="AC19" s="20"/>
      <c r="AD19" s="7"/>
      <c r="AE19" s="48"/>
      <c r="AG19" s="52"/>
      <c r="AH19" s="7"/>
      <c r="AI19" s="19"/>
      <c r="AJ19" s="7"/>
      <c r="AK19" s="20"/>
      <c r="AL19" s="7"/>
      <c r="AM19" s="48"/>
      <c r="AO19" s="52"/>
      <c r="AP19" s="7"/>
      <c r="AQ19" s="19"/>
      <c r="AR19" s="7"/>
      <c r="AS19" s="20"/>
      <c r="AT19" s="7"/>
      <c r="AU19" s="48"/>
      <c r="AW19" s="52"/>
      <c r="AX19" s="7"/>
      <c r="AY19" s="19"/>
      <c r="AZ19" s="7"/>
      <c r="BA19" s="20"/>
      <c r="BB19" s="7"/>
      <c r="BC19" s="48"/>
      <c r="BE19"/>
    </row>
    <row r="20" spans="3:57" s="11" customFormat="1" ht="22.5" customHeight="1" thickBot="1">
      <c r="C20" s="7"/>
      <c r="D20" s="7"/>
      <c r="E20" s="88"/>
      <c r="F20" s="7"/>
      <c r="G20" s="7"/>
      <c r="H20" s="7"/>
      <c r="I20" s="53"/>
      <c r="J20" s="9"/>
      <c r="K20" s="18"/>
      <c r="L20" s="9"/>
      <c r="M20" s="18"/>
      <c r="N20" s="9"/>
      <c r="O20" s="49"/>
      <c r="Q20" s="60">
        <f>O25</f>
        <v>0.08</v>
      </c>
      <c r="R20" s="9" t="s">
        <v>58</v>
      </c>
      <c r="S20" s="18">
        <f>$B$12</f>
        <v>0.17</v>
      </c>
      <c r="T20" s="9" t="s">
        <v>58</v>
      </c>
      <c r="U20" s="18">
        <f>IF(S$14=6,$D$11,(1-$D$11)/5)</f>
        <v>0.1</v>
      </c>
      <c r="V20" s="9" t="s">
        <v>59</v>
      </c>
      <c r="W20" s="42">
        <f>Q20*S20*U20</f>
        <v>0.00136</v>
      </c>
      <c r="Y20" s="63">
        <f>W25</f>
        <v>0.011066666666666667</v>
      </c>
      <c r="Z20" s="9" t="s">
        <v>58</v>
      </c>
      <c r="AA20" s="18">
        <f>$B$12</f>
        <v>0.17</v>
      </c>
      <c r="AB20" s="9" t="s">
        <v>58</v>
      </c>
      <c r="AC20" s="18">
        <f>IF(AA$14=6,$D$11,(1-$D$11)/5)</f>
        <v>0.5</v>
      </c>
      <c r="AD20" s="9" t="s">
        <v>59</v>
      </c>
      <c r="AE20" s="49">
        <f>Y20*AA20*AC20</f>
        <v>0.0009406666666666668</v>
      </c>
      <c r="AG20" s="53">
        <f>AE25</f>
        <v>0.001530888888888889</v>
      </c>
      <c r="AH20" s="9" t="s">
        <v>58</v>
      </c>
      <c r="AI20" s="18">
        <f>$B$12</f>
        <v>0.17</v>
      </c>
      <c r="AJ20" s="9" t="s">
        <v>58</v>
      </c>
      <c r="AK20" s="18">
        <f>IF(AI$14=6,$D$11,(1-$D$11)/5)</f>
        <v>0.5</v>
      </c>
      <c r="AL20" s="9" t="s">
        <v>59</v>
      </c>
      <c r="AM20" s="49">
        <f>AG20*AI20*AK20</f>
        <v>0.00013012555555555556</v>
      </c>
      <c r="AO20" s="53">
        <f>AM25</f>
        <v>0.00021177296296296294</v>
      </c>
      <c r="AP20" s="9" t="s">
        <v>58</v>
      </c>
      <c r="AQ20" s="18">
        <f>$B$12</f>
        <v>0.17</v>
      </c>
      <c r="AR20" s="9" t="s">
        <v>58</v>
      </c>
      <c r="AS20" s="18">
        <f>IF(AQ$14=6,$D$11,(1-$D$11)/5)</f>
        <v>0.5</v>
      </c>
      <c r="AT20" s="9" t="s">
        <v>59</v>
      </c>
      <c r="AU20" s="49">
        <f>AO20*AQ20*AS20</f>
        <v>1.800070185185185E-05</v>
      </c>
      <c r="AW20" s="53">
        <f>AU25</f>
        <v>2.9295259876543204E-05</v>
      </c>
      <c r="AX20" s="9" t="s">
        <v>58</v>
      </c>
      <c r="AY20" s="18">
        <f>$B$12</f>
        <v>0.17</v>
      </c>
      <c r="AZ20" s="9" t="s">
        <v>58</v>
      </c>
      <c r="BA20" s="18">
        <f>IF(AY$14=6,$D$11,(1-$D$11)/5)</f>
        <v>0.1</v>
      </c>
      <c r="BB20" s="9" t="s">
        <v>59</v>
      </c>
      <c r="BC20" s="49">
        <f>AW20*AY20*BA20</f>
        <v>4.980194179012345E-07</v>
      </c>
      <c r="BE20"/>
    </row>
    <row r="21" spans="3:57" s="11" customFormat="1" ht="22.5" customHeight="1">
      <c r="C21" s="7"/>
      <c r="D21" s="7"/>
      <c r="E21" s="207" t="s">
        <v>5</v>
      </c>
      <c r="F21" s="7"/>
      <c r="G21" s="7"/>
      <c r="H21" s="7"/>
      <c r="I21" s="7"/>
      <c r="J21" s="7"/>
      <c r="K21" s="14"/>
      <c r="L21" s="7"/>
      <c r="M21" s="7"/>
      <c r="O21" s="26"/>
      <c r="Q21" s="36"/>
      <c r="R21" s="7"/>
      <c r="S21" s="7"/>
      <c r="T21" s="7"/>
      <c r="U21" s="19"/>
      <c r="W21" s="26"/>
      <c r="Y21" s="7"/>
      <c r="Z21" s="7"/>
      <c r="AA21" s="19"/>
      <c r="AB21" s="7"/>
      <c r="AC21" s="19"/>
      <c r="AE21" s="50"/>
      <c r="AG21" s="54"/>
      <c r="AH21" s="7"/>
      <c r="AI21" s="19"/>
      <c r="AJ21" s="7"/>
      <c r="AK21" s="19"/>
      <c r="AM21" s="50"/>
      <c r="AO21" s="54"/>
      <c r="AP21" s="7"/>
      <c r="AQ21" s="19"/>
      <c r="AR21" s="7"/>
      <c r="AS21" s="19"/>
      <c r="AU21" s="50"/>
      <c r="AW21" s="50"/>
      <c r="AX21" s="7"/>
      <c r="AY21" s="19"/>
      <c r="AZ21" s="7"/>
      <c r="BA21" s="19"/>
      <c r="BC21" s="50"/>
      <c r="BE21"/>
    </row>
    <row r="22" spans="3:57" s="11" customFormat="1" ht="22.5" customHeight="1" thickBot="1">
      <c r="C22" s="7"/>
      <c r="D22" s="7"/>
      <c r="E22" s="208"/>
      <c r="F22" s="7"/>
      <c r="G22" s="7"/>
      <c r="H22" s="7"/>
      <c r="I22" s="7"/>
      <c r="J22" s="7"/>
      <c r="K22" s="14"/>
      <c r="L22" s="7"/>
      <c r="M22" s="7"/>
      <c r="O22" s="26"/>
      <c r="Q22" s="36"/>
      <c r="R22" s="7"/>
      <c r="S22" s="7"/>
      <c r="T22" s="7"/>
      <c r="U22" s="19"/>
      <c r="W22" s="26"/>
      <c r="Y22" s="7"/>
      <c r="Z22" s="7"/>
      <c r="AA22" s="19"/>
      <c r="AB22" s="7"/>
      <c r="AC22" s="19"/>
      <c r="AE22" s="50"/>
      <c r="AG22" s="54"/>
      <c r="AH22" s="7"/>
      <c r="AI22" s="19"/>
      <c r="AJ22" s="7"/>
      <c r="AK22" s="19"/>
      <c r="AM22" s="50"/>
      <c r="AO22" s="54"/>
      <c r="AP22" s="7"/>
      <c r="AQ22" s="19"/>
      <c r="AR22" s="7"/>
      <c r="AS22" s="19"/>
      <c r="AU22" s="50"/>
      <c r="AW22" s="50"/>
      <c r="AX22" s="7"/>
      <c r="AY22" s="19"/>
      <c r="AZ22" s="7"/>
      <c r="BA22" s="19"/>
      <c r="BC22" s="50"/>
      <c r="BE22"/>
    </row>
    <row r="23" spans="3:57" s="11" customFormat="1" ht="22.5" customHeight="1">
      <c r="C23" s="7"/>
      <c r="D23" s="7"/>
      <c r="E23" s="88"/>
      <c r="F23" s="7"/>
      <c r="G23" s="7"/>
      <c r="H23" s="7"/>
      <c r="I23" s="28"/>
      <c r="J23" s="5"/>
      <c r="K23" s="29"/>
      <c r="L23" s="5"/>
      <c r="M23" s="17"/>
      <c r="N23" s="5"/>
      <c r="O23" s="23"/>
      <c r="Q23" s="33">
        <f>O18</f>
        <v>0.052000000000000005</v>
      </c>
      <c r="R23" s="5" t="s">
        <v>58</v>
      </c>
      <c r="S23" s="17">
        <f>$C$11</f>
        <v>0.4</v>
      </c>
      <c r="T23" s="5" t="s">
        <v>58</v>
      </c>
      <c r="U23" s="17">
        <f>IF(S$14=6,$D$12,(1-$D$12)/5)</f>
        <v>0.16666666666666669</v>
      </c>
      <c r="V23" s="12" t="s">
        <v>59</v>
      </c>
      <c r="W23" s="23">
        <f>Q23*S23*U23</f>
        <v>0.0034666666666666674</v>
      </c>
      <c r="Y23" s="4">
        <f>W18</f>
        <v>0.0031200000000000004</v>
      </c>
      <c r="Z23" s="5" t="s">
        <v>58</v>
      </c>
      <c r="AA23" s="17">
        <f>$C$11</f>
        <v>0.4</v>
      </c>
      <c r="AB23" s="5" t="s">
        <v>58</v>
      </c>
      <c r="AC23" s="17">
        <f>IF(AA$14=6,$D$12,(1-$D$12)/5)</f>
        <v>0.16666666666666666</v>
      </c>
      <c r="AD23" s="12" t="s">
        <v>59</v>
      </c>
      <c r="AE23" s="47">
        <f>Y23*AA23*AC23</f>
        <v>0.00020800000000000001</v>
      </c>
      <c r="AG23" s="51">
        <f>AE18</f>
        <v>0.0009406666666666668</v>
      </c>
      <c r="AH23" s="5" t="s">
        <v>58</v>
      </c>
      <c r="AI23" s="17">
        <f>$C$11</f>
        <v>0.4</v>
      </c>
      <c r="AJ23" s="5" t="s">
        <v>58</v>
      </c>
      <c r="AK23" s="17">
        <f>IF(AI$14=6,$D$12,(1-$D$12)/5)</f>
        <v>0.16666666666666666</v>
      </c>
      <c r="AL23" s="12" t="s">
        <v>59</v>
      </c>
      <c r="AM23" s="47">
        <f>AG23*AI23*AK23</f>
        <v>6.271111111111112E-05</v>
      </c>
      <c r="AO23" s="51">
        <f>AM18</f>
        <v>0.00028220000000000003</v>
      </c>
      <c r="AP23" s="5" t="s">
        <v>58</v>
      </c>
      <c r="AQ23" s="17">
        <f>$C$11</f>
        <v>0.4</v>
      </c>
      <c r="AR23" s="5" t="s">
        <v>58</v>
      </c>
      <c r="AS23" s="17">
        <f>IF(AQ$14=6,$D$12,(1-$D$12)/5)</f>
        <v>0.16666666666666666</v>
      </c>
      <c r="AT23" s="12" t="s">
        <v>59</v>
      </c>
      <c r="AU23" s="47">
        <f>AO23*AQ23*AS23</f>
        <v>1.8813333333333335E-05</v>
      </c>
      <c r="AW23" s="51">
        <f>AU18</f>
        <v>8.466E-05</v>
      </c>
      <c r="AX23" s="5" t="s">
        <v>58</v>
      </c>
      <c r="AY23" s="17">
        <f>$C$11</f>
        <v>0.4</v>
      </c>
      <c r="AZ23" s="5" t="s">
        <v>58</v>
      </c>
      <c r="BA23" s="17">
        <f>IF(AY$14=6,$D$12,(1-$D$12)/5)</f>
        <v>0.16666666666666669</v>
      </c>
      <c r="BB23" s="12" t="s">
        <v>59</v>
      </c>
      <c r="BC23" s="47">
        <f>AW23*AY23*BA23</f>
        <v>5.644000000000001E-06</v>
      </c>
      <c r="BE23"/>
    </row>
    <row r="24" spans="3:57" s="11" customFormat="1" ht="22.5" customHeight="1">
      <c r="C24" s="7"/>
      <c r="D24" s="7"/>
      <c r="E24" s="88"/>
      <c r="F24" s="7"/>
      <c r="G24" s="7"/>
      <c r="H24" s="7"/>
      <c r="I24" s="6"/>
      <c r="J24" s="7"/>
      <c r="K24" s="19"/>
      <c r="L24" s="7"/>
      <c r="M24" s="19"/>
      <c r="N24" s="7"/>
      <c r="O24" s="24"/>
      <c r="Q24" s="34"/>
      <c r="R24" s="7"/>
      <c r="S24" s="8"/>
      <c r="T24" s="7"/>
      <c r="U24" s="19"/>
      <c r="V24" s="16"/>
      <c r="W24" s="24"/>
      <c r="Y24" s="6"/>
      <c r="Z24" s="7"/>
      <c r="AA24" s="19"/>
      <c r="AB24" s="7"/>
      <c r="AC24" s="19"/>
      <c r="AD24" s="16"/>
      <c r="AE24" s="48"/>
      <c r="AG24" s="52"/>
      <c r="AH24" s="7"/>
      <c r="AI24" s="19"/>
      <c r="AJ24" s="7"/>
      <c r="AK24" s="19"/>
      <c r="AL24" s="27"/>
      <c r="AM24" s="48"/>
      <c r="AO24" s="52"/>
      <c r="AP24" s="7"/>
      <c r="AQ24" s="19"/>
      <c r="AR24" s="7"/>
      <c r="AS24" s="19"/>
      <c r="AT24" s="27"/>
      <c r="AU24" s="48"/>
      <c r="AW24" s="52"/>
      <c r="AX24" s="7"/>
      <c r="AY24" s="19"/>
      <c r="AZ24" s="7"/>
      <c r="BA24" s="19"/>
      <c r="BB24" s="27"/>
      <c r="BC24" s="48"/>
      <c r="BE24"/>
    </row>
    <row r="25" spans="3:57" s="11" customFormat="1" ht="22.5" customHeight="1">
      <c r="C25" s="7"/>
      <c r="D25" s="7"/>
      <c r="E25" s="88" t="s">
        <v>3</v>
      </c>
      <c r="F25" s="7"/>
      <c r="G25" s="19">
        <f>C10</f>
        <v>0.48</v>
      </c>
      <c r="H25" s="7"/>
      <c r="I25" s="212">
        <f>G25</f>
        <v>0.48</v>
      </c>
      <c r="J25" s="214"/>
      <c r="K25" s="214"/>
      <c r="L25" s="7" t="s">
        <v>58</v>
      </c>
      <c r="M25" s="19">
        <f>IF(K$14=6,$D$12,(1-$D$12)/5)</f>
        <v>0.16666666666666669</v>
      </c>
      <c r="N25" s="7" t="s">
        <v>59</v>
      </c>
      <c r="O25" s="77">
        <f>I25*M25</f>
        <v>0.08</v>
      </c>
      <c r="Q25" s="34"/>
      <c r="R25" s="7"/>
      <c r="S25" s="7"/>
      <c r="T25" s="7"/>
      <c r="U25" s="20" t="s">
        <v>1</v>
      </c>
      <c r="V25" s="16" t="s">
        <v>59</v>
      </c>
      <c r="W25" s="24">
        <f>MAX(W23,W27)</f>
        <v>0.011066666666666667</v>
      </c>
      <c r="Y25" s="6"/>
      <c r="Z25" s="7"/>
      <c r="AA25" s="19"/>
      <c r="AB25" s="7"/>
      <c r="AC25" s="20" t="s">
        <v>1</v>
      </c>
      <c r="AD25" s="16" t="s">
        <v>59</v>
      </c>
      <c r="AE25" s="48">
        <f>MAX(AE23,AE27)</f>
        <v>0.001530888888888889</v>
      </c>
      <c r="AG25" s="52"/>
      <c r="AH25" s="7"/>
      <c r="AI25" s="19"/>
      <c r="AJ25" s="7"/>
      <c r="AK25" s="20" t="s">
        <v>1</v>
      </c>
      <c r="AL25" s="27" t="s">
        <v>59</v>
      </c>
      <c r="AM25" s="48">
        <f>MAX(AM23,AM27)</f>
        <v>0.00021177296296296294</v>
      </c>
      <c r="AO25" s="52"/>
      <c r="AP25" s="7"/>
      <c r="AQ25" s="19"/>
      <c r="AR25" s="7"/>
      <c r="AS25" s="20" t="s">
        <v>1</v>
      </c>
      <c r="AT25" s="27" t="s">
        <v>59</v>
      </c>
      <c r="AU25" s="48">
        <f>MAX(AU23,AU27)</f>
        <v>2.9295259876543204E-05</v>
      </c>
      <c r="AW25" s="52"/>
      <c r="AX25" s="7"/>
      <c r="AY25" s="19"/>
      <c r="AZ25" s="7"/>
      <c r="BA25" s="20" t="s">
        <v>1</v>
      </c>
      <c r="BB25" s="27" t="s">
        <v>59</v>
      </c>
      <c r="BC25" s="48">
        <f>MAX(BC23,BC27)</f>
        <v>5.644000000000001E-06</v>
      </c>
      <c r="BE25"/>
    </row>
    <row r="26" spans="3:57" s="11" customFormat="1" ht="22.5" customHeight="1">
      <c r="C26" s="7"/>
      <c r="D26" s="7"/>
      <c r="E26" s="7"/>
      <c r="F26" s="7"/>
      <c r="G26" s="19"/>
      <c r="H26" s="7"/>
      <c r="I26" s="6"/>
      <c r="J26" s="7"/>
      <c r="K26" s="7"/>
      <c r="L26" s="7"/>
      <c r="M26" s="7"/>
      <c r="N26" s="7"/>
      <c r="O26" s="24"/>
      <c r="Q26" s="34"/>
      <c r="R26" s="7"/>
      <c r="S26" s="7"/>
      <c r="T26" s="7"/>
      <c r="U26" s="20"/>
      <c r="V26" s="16"/>
      <c r="W26" s="24"/>
      <c r="Y26" s="6"/>
      <c r="Z26" s="7"/>
      <c r="AA26" s="19"/>
      <c r="AB26" s="7"/>
      <c r="AC26" s="20"/>
      <c r="AD26" s="16"/>
      <c r="AE26" s="48"/>
      <c r="AG26" s="52"/>
      <c r="AH26" s="7"/>
      <c r="AI26" s="19"/>
      <c r="AJ26" s="7"/>
      <c r="AK26" s="20"/>
      <c r="AL26" s="27"/>
      <c r="AM26" s="48"/>
      <c r="AO26" s="52"/>
      <c r="AP26" s="7"/>
      <c r="AQ26" s="19"/>
      <c r="AR26" s="7"/>
      <c r="AS26" s="20"/>
      <c r="AT26" s="27"/>
      <c r="AU26" s="48"/>
      <c r="AW26" s="52"/>
      <c r="AX26" s="7"/>
      <c r="AY26" s="19"/>
      <c r="AZ26" s="7"/>
      <c r="BA26" s="20"/>
      <c r="BB26" s="27"/>
      <c r="BC26" s="48"/>
      <c r="BE26"/>
    </row>
    <row r="27" spans="3:57" s="11" customFormat="1" ht="22.5" customHeight="1" thickBot="1">
      <c r="C27" s="7"/>
      <c r="D27" s="7"/>
      <c r="F27" s="7"/>
      <c r="G27" s="7"/>
      <c r="H27" s="7"/>
      <c r="I27" s="3"/>
      <c r="J27" s="43"/>
      <c r="K27" s="43"/>
      <c r="L27" s="43"/>
      <c r="M27" s="43"/>
      <c r="N27" s="43"/>
      <c r="O27" s="44"/>
      <c r="Q27" s="35">
        <f>O25</f>
        <v>0.08</v>
      </c>
      <c r="R27" s="9" t="s">
        <v>58</v>
      </c>
      <c r="S27" s="18">
        <f>$C$12</f>
        <v>0.83</v>
      </c>
      <c r="T27" s="9" t="s">
        <v>58</v>
      </c>
      <c r="U27" s="18">
        <f>IF(S$14=6,$D$12,(1-$D$12)/5)</f>
        <v>0.16666666666666669</v>
      </c>
      <c r="V27" s="13" t="s">
        <v>59</v>
      </c>
      <c r="W27" s="25">
        <f>Q27*S27*U27</f>
        <v>0.011066666666666667</v>
      </c>
      <c r="Y27" s="15">
        <f>W25</f>
        <v>0.011066666666666667</v>
      </c>
      <c r="Z27" s="9" t="s">
        <v>58</v>
      </c>
      <c r="AA27" s="18">
        <f>$C$12</f>
        <v>0.83</v>
      </c>
      <c r="AB27" s="9" t="s">
        <v>58</v>
      </c>
      <c r="AC27" s="18">
        <f>IF(AA$14=6,$D$12,(1-$D$12)/5)</f>
        <v>0.16666666666666666</v>
      </c>
      <c r="AD27" s="13" t="s">
        <v>59</v>
      </c>
      <c r="AE27" s="49">
        <f>Y27*AA27*AC27</f>
        <v>0.001530888888888889</v>
      </c>
      <c r="AG27" s="53">
        <f>AE25</f>
        <v>0.001530888888888889</v>
      </c>
      <c r="AH27" s="9" t="s">
        <v>58</v>
      </c>
      <c r="AI27" s="18">
        <f>$C$12</f>
        <v>0.83</v>
      </c>
      <c r="AJ27" s="9" t="s">
        <v>58</v>
      </c>
      <c r="AK27" s="18">
        <f>IF(AI$14=6,$D$12,(1-$D$12)/5)</f>
        <v>0.16666666666666666</v>
      </c>
      <c r="AL27" s="13" t="s">
        <v>59</v>
      </c>
      <c r="AM27" s="49">
        <f>AG27*AI27*AK27</f>
        <v>0.00021177296296296294</v>
      </c>
      <c r="AO27" s="53">
        <f>AM25</f>
        <v>0.00021177296296296294</v>
      </c>
      <c r="AP27" s="9" t="s">
        <v>58</v>
      </c>
      <c r="AQ27" s="18">
        <f>$C$12</f>
        <v>0.83</v>
      </c>
      <c r="AR27" s="9" t="s">
        <v>58</v>
      </c>
      <c r="AS27" s="18">
        <f>IF(AQ$14=6,$D$12,(1-$D$12)/5)</f>
        <v>0.16666666666666666</v>
      </c>
      <c r="AT27" s="13" t="s">
        <v>59</v>
      </c>
      <c r="AU27" s="49">
        <f>AO27*AQ27*AS27</f>
        <v>2.9295259876543204E-05</v>
      </c>
      <c r="AW27" s="53">
        <f>AU25</f>
        <v>2.9295259876543204E-05</v>
      </c>
      <c r="AX27" s="9" t="s">
        <v>58</v>
      </c>
      <c r="AY27" s="18">
        <f>$C$12</f>
        <v>0.83</v>
      </c>
      <c r="AZ27" s="9" t="s">
        <v>58</v>
      </c>
      <c r="BA27" s="18">
        <f>IF(AY$14=6,$D$12,(1-$D$12)/5)</f>
        <v>0.16666666666666669</v>
      </c>
      <c r="BB27" s="13" t="s">
        <v>59</v>
      </c>
      <c r="BC27" s="49">
        <f>AW27*AY27*BA27</f>
        <v>4.0525109495884765E-06</v>
      </c>
      <c r="BE27"/>
    </row>
    <row r="28" spans="3:57" s="11" customFormat="1" ht="22.5" customHeight="1">
      <c r="C28" s="7"/>
      <c r="D28" s="7"/>
      <c r="E28" s="7"/>
      <c r="F28" s="7"/>
      <c r="G28" s="7"/>
      <c r="H28" s="7"/>
      <c r="I28" s="36"/>
      <c r="J28" s="7"/>
      <c r="K28" s="7"/>
      <c r="L28" s="7"/>
      <c r="M28" s="7"/>
      <c r="N28" s="7"/>
      <c r="O28" s="27"/>
      <c r="Q28" s="36"/>
      <c r="R28" s="7"/>
      <c r="S28" s="7"/>
      <c r="T28" s="7"/>
      <c r="U28" s="7"/>
      <c r="V28" s="7"/>
      <c r="W28" s="27"/>
      <c r="AE28" s="50"/>
      <c r="AG28" s="50"/>
      <c r="AM28" s="50"/>
      <c r="AO28" s="50"/>
      <c r="AU28" s="50"/>
      <c r="AW28" s="50"/>
      <c r="BC28" s="50"/>
      <c r="BE28"/>
    </row>
    <row r="29" spans="9:53" ht="22.5" customHeight="1">
      <c r="I29" s="37"/>
      <c r="J29" s="30" t="s">
        <v>9</v>
      </c>
      <c r="L29" s="30"/>
      <c r="M29" s="30" t="s">
        <v>8</v>
      </c>
      <c r="Q29" s="37" t="s">
        <v>6</v>
      </c>
      <c r="R29" s="30"/>
      <c r="S29" s="30" t="s">
        <v>7</v>
      </c>
      <c r="T29" s="30"/>
      <c r="U29" s="30" t="s">
        <v>8</v>
      </c>
      <c r="V29" s="21"/>
      <c r="Y29" s="30" t="s">
        <v>6</v>
      </c>
      <c r="Z29" s="30"/>
      <c r="AA29" s="30" t="s">
        <v>7</v>
      </c>
      <c r="AB29" s="30"/>
      <c r="AC29" s="30" t="s">
        <v>8</v>
      </c>
      <c r="AG29" s="55" t="s">
        <v>6</v>
      </c>
      <c r="AH29" s="30"/>
      <c r="AI29" s="30" t="s">
        <v>7</v>
      </c>
      <c r="AJ29" s="30"/>
      <c r="AK29" s="30" t="s">
        <v>8</v>
      </c>
      <c r="AO29" s="55" t="s">
        <v>6</v>
      </c>
      <c r="AP29" s="30"/>
      <c r="AQ29" s="30" t="s">
        <v>7</v>
      </c>
      <c r="AR29" s="30"/>
      <c r="AS29" s="30" t="s">
        <v>8</v>
      </c>
      <c r="AW29" s="55" t="s">
        <v>10</v>
      </c>
      <c r="AX29" s="30"/>
      <c r="AY29" s="30" t="s">
        <v>7</v>
      </c>
      <c r="AZ29" s="30"/>
      <c r="BA29" s="30" t="s">
        <v>8</v>
      </c>
    </row>
    <row r="30" ht="12.75" customHeight="1"/>
    <row r="31" spans="3:57" s="45" customFormat="1" ht="22.5" customHeight="1">
      <c r="C31" s="57"/>
      <c r="D31" s="57"/>
      <c r="E31" s="57">
        <f>IF($M$8,"Viterbi Path:","")</f>
      </c>
      <c r="F31" s="57"/>
      <c r="G31" s="57"/>
      <c r="H31" s="57"/>
      <c r="I31" s="57"/>
      <c r="J31" s="57"/>
      <c r="K31" s="57"/>
      <c r="L31" s="57"/>
      <c r="M31" s="57"/>
      <c r="O31" s="45">
        <f>IF($M$8,IF(OR(AND(W31=1,W25=W27),AND(W31=0,W20=W18)),1,0),"")</f>
      </c>
      <c r="W31" s="45">
        <f>IF($M$8,IF(OR(AND(AE31=1,AE25=AE27),AND(AE31=0,AE20=AE18)),1,0),"")</f>
      </c>
      <c r="AE31" s="45">
        <f>IF($M$8,IF(OR(AND(AM31=1,AM25=AM27),AND(AM31=0,AM20=AM18)),1,0),"")</f>
      </c>
      <c r="AM31" s="45">
        <f>IF($M$8,IF(OR(AND(AU31=1,AU25=AU27),AND(AU31=0,AU20=AU18)),1,0),"")</f>
      </c>
      <c r="AU31" s="45">
        <f>IF($M$8,IF(OR(AND(BC31=1,BC25=BC27),AND(BC31=0,BC20=BC18)),1,0),"")</f>
      </c>
      <c r="BC31" s="45">
        <f>IF($M$8,IF(BC25&gt;BC18,1,0),"")</f>
      </c>
      <c r="BE31"/>
    </row>
    <row r="37" spans="11:20" ht="22.5">
      <c r="K37"/>
      <c r="L37"/>
      <c r="M37"/>
      <c r="N37"/>
      <c r="O37"/>
      <c r="P37"/>
      <c r="Q37"/>
      <c r="R37"/>
      <c r="S37"/>
      <c r="T37"/>
    </row>
  </sheetData>
  <mergeCells count="6">
    <mergeCell ref="E21:E22"/>
    <mergeCell ref="A8:D8"/>
    <mergeCell ref="I18:K18"/>
    <mergeCell ref="I25:K25"/>
    <mergeCell ref="F14:H14"/>
    <mergeCell ref="M8:O8"/>
  </mergeCells>
  <conditionalFormatting sqref="AW16:BC20">
    <cfRule type="expression" priority="1" dxfId="0" stopIfTrue="1">
      <formula>$BC$31=0</formula>
    </cfRule>
  </conditionalFormatting>
  <conditionalFormatting sqref="AO16:AU20">
    <cfRule type="expression" priority="2" dxfId="0" stopIfTrue="1">
      <formula>$AU$31=0</formula>
    </cfRule>
  </conditionalFormatting>
  <conditionalFormatting sqref="AG16:AM20">
    <cfRule type="expression" priority="3" dxfId="0" stopIfTrue="1">
      <formula>$AM$31=0</formula>
    </cfRule>
  </conditionalFormatting>
  <conditionalFormatting sqref="Y16:AE20">
    <cfRule type="expression" priority="4" dxfId="0" stopIfTrue="1">
      <formula>$AE$31=0</formula>
    </cfRule>
  </conditionalFormatting>
  <conditionalFormatting sqref="Q16:W20">
    <cfRule type="expression" priority="5" dxfId="0" stopIfTrue="1">
      <formula>$W$31=0</formula>
    </cfRule>
  </conditionalFormatting>
  <conditionalFormatting sqref="I16:O20">
    <cfRule type="expression" priority="6" dxfId="0" stopIfTrue="1">
      <formula>$O$31=0</formula>
    </cfRule>
  </conditionalFormatting>
  <conditionalFormatting sqref="AO23:AU27">
    <cfRule type="expression" priority="7" dxfId="0" stopIfTrue="1">
      <formula>$AU$31=1</formula>
    </cfRule>
  </conditionalFormatting>
  <conditionalFormatting sqref="AW23:BC27">
    <cfRule type="expression" priority="8" dxfId="0" stopIfTrue="1">
      <formula>$BC$31=1</formula>
    </cfRule>
  </conditionalFormatting>
  <conditionalFormatting sqref="I23:O27">
    <cfRule type="expression" priority="9" dxfId="0" stopIfTrue="1">
      <formula>$O$31=1</formula>
    </cfRule>
  </conditionalFormatting>
  <conditionalFormatting sqref="Q23:W27">
    <cfRule type="expression" priority="10" dxfId="0" stopIfTrue="1">
      <formula>$W$31=1</formula>
    </cfRule>
  </conditionalFormatting>
  <conditionalFormatting sqref="Y23:AE27">
    <cfRule type="expression" priority="11" dxfId="0" stopIfTrue="1">
      <formula>$AE$31=1</formula>
    </cfRule>
  </conditionalFormatting>
  <conditionalFormatting sqref="AG23:AM27">
    <cfRule type="expression" priority="12" dxfId="0" stopIfTrue="1">
      <formula>$AM$31=1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3"/>
  <sheetViews>
    <sheetView zoomScale="42" zoomScaleNormal="42" workbookViewId="0" topLeftCell="A1">
      <selection activeCell="AG11" sqref="AG11"/>
    </sheetView>
  </sheetViews>
  <sheetFormatPr defaultColWidth="11.00390625" defaultRowHeight="12.75"/>
  <cols>
    <col min="1" max="1" width="5.25390625" style="2" customWidth="1"/>
    <col min="2" max="2" width="11.375" style="2" customWidth="1"/>
    <col min="3" max="4" width="11.625" style="1" customWidth="1"/>
    <col min="5" max="6" width="7.00390625" style="1" customWidth="1"/>
    <col min="7" max="7" width="7.75390625" style="1" customWidth="1"/>
    <col min="8" max="8" width="6.875" style="1" customWidth="1"/>
    <col min="9" max="9" width="2.25390625" style="1" customWidth="1"/>
    <col min="10" max="10" width="3.00390625" style="1" customWidth="1"/>
    <col min="11" max="11" width="7.875" style="1" customWidth="1"/>
    <col min="12" max="12" width="3.00390625" style="1" customWidth="1"/>
    <col min="13" max="13" width="8.625" style="1" customWidth="1"/>
    <col min="14" max="14" width="3.75390625" style="2" customWidth="1"/>
    <col min="15" max="15" width="9.875" style="22" customWidth="1"/>
    <col min="16" max="16" width="6.875" style="2" customWidth="1"/>
    <col min="17" max="17" width="10.75390625" style="31" customWidth="1"/>
    <col min="18" max="18" width="3.00390625" style="2" customWidth="1"/>
    <col min="19" max="19" width="8.625" style="2" customWidth="1"/>
    <col min="20" max="20" width="3.00390625" style="2" customWidth="1"/>
    <col min="21" max="21" width="8.625" style="2" customWidth="1"/>
    <col min="22" max="22" width="3.75390625" style="2" customWidth="1"/>
    <col min="23" max="23" width="11.875" style="22" customWidth="1"/>
    <col min="24" max="24" width="6.875" style="2" customWidth="1"/>
    <col min="25" max="25" width="11.875" style="2" customWidth="1"/>
    <col min="26" max="26" width="3.00390625" style="2" customWidth="1"/>
    <col min="27" max="27" width="8.625" style="2" customWidth="1"/>
    <col min="28" max="28" width="3.00390625" style="2" customWidth="1"/>
    <col min="29" max="29" width="8.625" style="2" customWidth="1"/>
    <col min="30" max="30" width="3.75390625" style="2" customWidth="1"/>
    <col min="31" max="31" width="14.25390625" style="46" customWidth="1"/>
    <col min="32" max="32" width="6.875" style="2" customWidth="1"/>
    <col min="33" max="33" width="14.75390625" style="46" customWidth="1"/>
    <col min="34" max="34" width="3.00390625" style="2" customWidth="1"/>
    <col min="35" max="35" width="8.625" style="2" customWidth="1"/>
    <col min="36" max="36" width="3.00390625" style="2" customWidth="1"/>
    <col min="37" max="37" width="8.625" style="2" customWidth="1"/>
    <col min="38" max="38" width="3.75390625" style="2" customWidth="1"/>
    <col min="39" max="39" width="14.25390625" style="46" customWidth="1"/>
    <col min="40" max="40" width="6.875" style="2" customWidth="1"/>
    <col min="41" max="41" width="13.875" style="46" customWidth="1"/>
    <col min="42" max="42" width="3.00390625" style="2" customWidth="1"/>
    <col min="43" max="43" width="8.625" style="2" customWidth="1"/>
    <col min="44" max="44" width="3.00390625" style="2" customWidth="1"/>
    <col min="45" max="45" width="8.625" style="2" customWidth="1"/>
    <col min="46" max="46" width="3.75390625" style="2" customWidth="1"/>
    <col min="47" max="47" width="14.25390625" style="46" customWidth="1"/>
    <col min="48" max="48" width="6.875" style="2" customWidth="1"/>
    <col min="49" max="49" width="14.25390625" style="46" customWidth="1"/>
    <col min="50" max="50" width="3.00390625" style="2" customWidth="1"/>
    <col min="51" max="51" width="8.625" style="2" customWidth="1"/>
    <col min="52" max="52" width="3.00390625" style="2" customWidth="1"/>
    <col min="53" max="53" width="8.625" style="2" customWidth="1"/>
    <col min="54" max="54" width="3.75390625" style="2" customWidth="1"/>
    <col min="55" max="55" width="14.75390625" style="46" customWidth="1"/>
    <col min="56" max="56" width="10.75390625" style="2" customWidth="1"/>
    <col min="57" max="57" width="13.875" style="0" customWidth="1"/>
    <col min="58" max="16384" width="10.75390625" style="2" customWidth="1"/>
  </cols>
  <sheetData>
    <row r="1" ht="45">
      <c r="A1" s="79" t="s">
        <v>56</v>
      </c>
    </row>
    <row r="2" ht="34.5">
      <c r="A2" s="78"/>
    </row>
    <row r="3" ht="34.5">
      <c r="A3" s="78" t="s">
        <v>55</v>
      </c>
    </row>
    <row r="4" ht="34.5">
      <c r="A4" s="78" t="s">
        <v>18</v>
      </c>
    </row>
    <row r="5" ht="34.5">
      <c r="A5" s="78" t="s">
        <v>53</v>
      </c>
    </row>
    <row r="6" ht="34.5">
      <c r="A6" s="78" t="s">
        <v>54</v>
      </c>
    </row>
    <row r="7" ht="24" thickBot="1"/>
    <row r="8" spans="1:33" ht="36" thickBot="1">
      <c r="A8" s="209" t="s">
        <v>12</v>
      </c>
      <c r="B8" s="210"/>
      <c r="C8" s="210"/>
      <c r="D8" s="211"/>
      <c r="E8" s="7"/>
      <c r="F8" s="7"/>
      <c r="G8" s="7"/>
      <c r="H8" s="7"/>
      <c r="W8" s="22" t="s">
        <v>20</v>
      </c>
      <c r="Y8" s="217">
        <f>0.3*0.9^5*0.1^3*0.5^3</f>
        <v>2.214337500000001E-05</v>
      </c>
      <c r="Z8" s="218"/>
      <c r="AA8" s="218"/>
      <c r="AE8" s="46">
        <f>0.3*(0.9)^3*0.1^3</f>
        <v>0.00021870000000000008</v>
      </c>
      <c r="AG8" s="46">
        <f>Y8/AE8</f>
        <v>0.10125</v>
      </c>
    </row>
    <row r="9" spans="1:27" ht="34.5">
      <c r="A9" s="64"/>
      <c r="B9" s="65" t="s">
        <v>60</v>
      </c>
      <c r="C9" s="66" t="s">
        <v>61</v>
      </c>
      <c r="D9" s="67" t="s">
        <v>2</v>
      </c>
      <c r="E9" s="10"/>
      <c r="G9" s="10"/>
      <c r="H9" s="10"/>
      <c r="W9" s="89" t="s">
        <v>21</v>
      </c>
      <c r="Y9" s="217">
        <f>0.3*(0.95)^4*0.05*(1/6)^5*0.5</f>
        <v>7.855963059413579E-07</v>
      </c>
      <c r="Z9" s="218"/>
      <c r="AA9" s="218"/>
    </row>
    <row r="10" spans="1:33" ht="34.5">
      <c r="A10" s="68" t="s">
        <v>0</v>
      </c>
      <c r="B10" s="69">
        <v>0.3</v>
      </c>
      <c r="C10" s="70">
        <f>1-B10</f>
        <v>0.7</v>
      </c>
      <c r="D10" s="71"/>
      <c r="E10" s="56"/>
      <c r="G10" s="56"/>
      <c r="H10" s="56"/>
      <c r="W10" s="89" t="s">
        <v>22</v>
      </c>
      <c r="Y10" s="217">
        <f>0.7*0.95^2*0.05*0.9^2*(1/6)^3*0.5^3</f>
        <v>1.4806640625E-05</v>
      </c>
      <c r="Z10" s="218"/>
      <c r="AA10" s="218"/>
      <c r="AE10" s="46">
        <f>0.7*(0.95)^2*0.05*(1/6)^3</f>
        <v>0.0001462384259259259</v>
      </c>
      <c r="AG10" s="46">
        <f>Y10/AE10</f>
        <v>0.10125</v>
      </c>
    </row>
    <row r="11" spans="1:8" ht="34.5">
      <c r="A11" s="68" t="s">
        <v>60</v>
      </c>
      <c r="B11" s="69">
        <v>0.9</v>
      </c>
      <c r="C11" s="70">
        <f>1-B11</f>
        <v>0.09999999999999998</v>
      </c>
      <c r="D11" s="72">
        <v>0.5</v>
      </c>
      <c r="E11" s="56"/>
      <c r="F11" s="56"/>
      <c r="G11" s="56"/>
      <c r="H11" s="56"/>
    </row>
    <row r="12" spans="1:4" ht="36" thickBot="1">
      <c r="A12" s="73" t="s">
        <v>61</v>
      </c>
      <c r="B12" s="74">
        <v>0.05</v>
      </c>
      <c r="C12" s="75">
        <f>1-B12</f>
        <v>0.95</v>
      </c>
      <c r="D12" s="76">
        <f>1/6</f>
        <v>0.16666666666666666</v>
      </c>
    </row>
    <row r="13" spans="1:8" ht="22.5" customHeight="1" thickBot="1">
      <c r="A13" s="11"/>
      <c r="B13" s="38"/>
      <c r="C13" s="56"/>
      <c r="D13" s="56"/>
      <c r="F13" s="2"/>
      <c r="G13" s="80"/>
      <c r="H13" s="80"/>
    </row>
    <row r="14" spans="5:57" s="81" customFormat="1" ht="37.5" thickBot="1">
      <c r="E14" s="87" t="s">
        <v>57</v>
      </c>
      <c r="F14" s="215">
        <v>111666</v>
      </c>
      <c r="G14" s="216"/>
      <c r="H14" s="216"/>
      <c r="K14" s="82">
        <f>MID($F$14,(COLUMN()-3)/8,1)+0</f>
        <v>1</v>
      </c>
      <c r="O14" s="83"/>
      <c r="Q14" s="84"/>
      <c r="S14" s="82">
        <f>MID($F$14,(COLUMN()-3)/8,1)+0</f>
        <v>1</v>
      </c>
      <c r="W14" s="83"/>
      <c r="AA14" s="82">
        <f>MID($F$14,(COLUMN()-3)/8,1)+0</f>
        <v>1</v>
      </c>
      <c r="AE14" s="85"/>
      <c r="AG14" s="85"/>
      <c r="AI14" s="82">
        <f>MID($F$14,(COLUMN()-3)/8,1)+0</f>
        <v>6</v>
      </c>
      <c r="AM14" s="85"/>
      <c r="AO14" s="85"/>
      <c r="AQ14" s="82">
        <f>MID($F$14,(COLUMN()-3)/8,1)+0</f>
        <v>6</v>
      </c>
      <c r="AU14" s="85"/>
      <c r="AW14" s="85"/>
      <c r="AY14" s="82">
        <f>MID($F$14,(COLUMN()-3)/8,1)+0</f>
        <v>6</v>
      </c>
      <c r="BC14" s="85"/>
      <c r="BE14" s="86"/>
    </row>
    <row r="15" spans="17:21" ht="22.5" customHeight="1" thickBot="1">
      <c r="Q15" s="32"/>
      <c r="R15" s="1"/>
      <c r="S15" s="1"/>
      <c r="T15" s="1"/>
      <c r="U15" s="1"/>
    </row>
    <row r="16" spans="3:57" s="11" customFormat="1" ht="22.5" customHeight="1">
      <c r="C16" s="7"/>
      <c r="D16" s="7"/>
      <c r="E16" s="7"/>
      <c r="F16" s="7"/>
      <c r="G16" s="7"/>
      <c r="H16" s="7"/>
      <c r="I16" s="51"/>
      <c r="J16" s="5"/>
      <c r="K16" s="17"/>
      <c r="L16" s="5"/>
      <c r="M16" s="17"/>
      <c r="N16" s="5"/>
      <c r="O16" s="47"/>
      <c r="Q16" s="58">
        <f>O18</f>
        <v>0.03</v>
      </c>
      <c r="R16" s="5" t="s">
        <v>58</v>
      </c>
      <c r="S16" s="17">
        <f>$B$11</f>
        <v>0.9</v>
      </c>
      <c r="T16" s="5" t="s">
        <v>58</v>
      </c>
      <c r="U16" s="17">
        <f>IF(S$14=6,$D$11,(1-$D$11)/5)</f>
        <v>0.1</v>
      </c>
      <c r="V16" s="5" t="s">
        <v>59</v>
      </c>
      <c r="W16" s="40">
        <f>Q16*S16*U16</f>
        <v>0.0027</v>
      </c>
      <c r="Y16" s="61">
        <f>W18</f>
        <v>0.0027</v>
      </c>
      <c r="Z16" s="5" t="s">
        <v>58</v>
      </c>
      <c r="AA16" s="17">
        <f>$B$11</f>
        <v>0.9</v>
      </c>
      <c r="AB16" s="5" t="s">
        <v>58</v>
      </c>
      <c r="AC16" s="17">
        <f>IF(AA$14=6,$D$11,(1-$D$11)/5)</f>
        <v>0.1</v>
      </c>
      <c r="AD16" s="5" t="s">
        <v>59</v>
      </c>
      <c r="AE16" s="47">
        <f>Y16*AA16*AC16</f>
        <v>0.00024300000000000005</v>
      </c>
      <c r="AG16" s="51">
        <f>AE18</f>
        <v>0.00024300000000000005</v>
      </c>
      <c r="AH16" s="5" t="s">
        <v>58</v>
      </c>
      <c r="AI16" s="17">
        <f>$B$11</f>
        <v>0.9</v>
      </c>
      <c r="AJ16" s="5" t="s">
        <v>58</v>
      </c>
      <c r="AK16" s="17">
        <f>IF(AI$14=6,$D$11,(1-$D$11)/5)</f>
        <v>0.5</v>
      </c>
      <c r="AL16" s="5" t="s">
        <v>59</v>
      </c>
      <c r="AM16" s="47">
        <f>AG16*AI16*AK16</f>
        <v>0.00010935000000000003</v>
      </c>
      <c r="AO16" s="51">
        <f>AM18</f>
        <v>0.00010935000000000003</v>
      </c>
      <c r="AP16" s="5" t="s">
        <v>58</v>
      </c>
      <c r="AQ16" s="17">
        <f>$B$11</f>
        <v>0.9</v>
      </c>
      <c r="AR16" s="5" t="s">
        <v>58</v>
      </c>
      <c r="AS16" s="17">
        <f>IF(AQ$14=6,$D$11,(1-$D$11)/5)</f>
        <v>0.5</v>
      </c>
      <c r="AT16" s="5" t="s">
        <v>59</v>
      </c>
      <c r="AU16" s="47">
        <f>AO16*AQ16*AS16</f>
        <v>4.920750000000001E-05</v>
      </c>
      <c r="AW16" s="51">
        <f>AU18</f>
        <v>4.920750000000001E-05</v>
      </c>
      <c r="AX16" s="5" t="s">
        <v>58</v>
      </c>
      <c r="AY16" s="17">
        <f>$B$11</f>
        <v>0.9</v>
      </c>
      <c r="AZ16" s="5" t="s">
        <v>58</v>
      </c>
      <c r="BA16" s="17">
        <f>IF(AY$14=6,$D$11,(1-$D$11)/5)</f>
        <v>0.5</v>
      </c>
      <c r="BB16" s="5" t="s">
        <v>59</v>
      </c>
      <c r="BC16" s="47">
        <f>AW16*AY16*BA16</f>
        <v>2.2143375000000007E-05</v>
      </c>
      <c r="BE16"/>
    </row>
    <row r="17" spans="3:57" s="11" customFormat="1" ht="22.5" customHeight="1">
      <c r="C17" s="7"/>
      <c r="D17" s="7"/>
      <c r="E17" s="7"/>
      <c r="F17" s="7"/>
      <c r="G17" s="7"/>
      <c r="H17" s="7"/>
      <c r="I17" s="52"/>
      <c r="J17" s="7"/>
      <c r="K17" s="56"/>
      <c r="L17" s="7"/>
      <c r="M17" s="56"/>
      <c r="N17" s="7"/>
      <c r="O17" s="48"/>
      <c r="Q17" s="59"/>
      <c r="R17" s="7"/>
      <c r="S17" s="56"/>
      <c r="T17" s="7"/>
      <c r="U17" s="56"/>
      <c r="V17" s="7"/>
      <c r="W17" s="41"/>
      <c r="Y17" s="62"/>
      <c r="Z17" s="7"/>
      <c r="AA17" s="56"/>
      <c r="AB17" s="7"/>
      <c r="AC17" s="56"/>
      <c r="AD17" s="7"/>
      <c r="AE17" s="48"/>
      <c r="AG17" s="52"/>
      <c r="AH17" s="7"/>
      <c r="AI17" s="56"/>
      <c r="AJ17" s="7"/>
      <c r="AK17" s="56"/>
      <c r="AL17" s="7"/>
      <c r="AM17" s="48"/>
      <c r="AO17" s="52"/>
      <c r="AP17" s="7"/>
      <c r="AQ17" s="56"/>
      <c r="AR17" s="7"/>
      <c r="AS17" s="56"/>
      <c r="AT17" s="7"/>
      <c r="AU17" s="48"/>
      <c r="AW17" s="52"/>
      <c r="AX17" s="7"/>
      <c r="AY17" s="56"/>
      <c r="AZ17" s="7"/>
      <c r="BA17" s="56"/>
      <c r="BB17" s="7"/>
      <c r="BC17" s="48"/>
      <c r="BE17"/>
    </row>
    <row r="18" spans="3:57" s="11" customFormat="1" ht="22.5" customHeight="1">
      <c r="C18" s="7"/>
      <c r="D18" s="7"/>
      <c r="E18" s="88" t="s">
        <v>4</v>
      </c>
      <c r="F18" s="7"/>
      <c r="G18" s="56">
        <f>B10</f>
        <v>0.3</v>
      </c>
      <c r="H18" s="7"/>
      <c r="I18" s="212">
        <f>G18</f>
        <v>0.3</v>
      </c>
      <c r="J18" s="213"/>
      <c r="K18" s="213"/>
      <c r="L18" s="7" t="s">
        <v>58</v>
      </c>
      <c r="M18" s="20">
        <f>IF(K$14=6,$D$11,(1-$D$11)/5)</f>
        <v>0.1</v>
      </c>
      <c r="N18" s="7" t="s">
        <v>59</v>
      </c>
      <c r="O18" s="77">
        <f>I18*M18</f>
        <v>0.03</v>
      </c>
      <c r="Q18" s="59"/>
      <c r="R18" s="7"/>
      <c r="S18" s="56"/>
      <c r="T18" s="7"/>
      <c r="U18" s="20" t="s">
        <v>1</v>
      </c>
      <c r="V18" s="7" t="s">
        <v>59</v>
      </c>
      <c r="W18" s="41">
        <f>MAX(W16,W20)</f>
        <v>0.0027</v>
      </c>
      <c r="Y18" s="62"/>
      <c r="Z18" s="7"/>
      <c r="AA18" s="56"/>
      <c r="AB18" s="7"/>
      <c r="AC18" s="20" t="s">
        <v>1</v>
      </c>
      <c r="AD18" s="7" t="s">
        <v>59</v>
      </c>
      <c r="AE18" s="48">
        <f>MAX(AE16,AE20)</f>
        <v>0.00024300000000000005</v>
      </c>
      <c r="AG18" s="52"/>
      <c r="AH18" s="7"/>
      <c r="AI18" s="56"/>
      <c r="AJ18" s="7"/>
      <c r="AK18" s="20" t="s">
        <v>1</v>
      </c>
      <c r="AL18" s="7" t="s">
        <v>59</v>
      </c>
      <c r="AM18" s="48">
        <f>MAX(AM16,AM20)</f>
        <v>0.00010935000000000003</v>
      </c>
      <c r="AO18" s="52"/>
      <c r="AP18" s="7"/>
      <c r="AQ18" s="56"/>
      <c r="AR18" s="7"/>
      <c r="AS18" s="20" t="s">
        <v>1</v>
      </c>
      <c r="AT18" s="7" t="s">
        <v>59</v>
      </c>
      <c r="AU18" s="48">
        <f>MAX(AU16,AU20)</f>
        <v>4.920750000000001E-05</v>
      </c>
      <c r="AW18" s="52"/>
      <c r="AX18" s="7"/>
      <c r="AY18" s="56"/>
      <c r="AZ18" s="7"/>
      <c r="BA18" s="20" t="s">
        <v>1</v>
      </c>
      <c r="BB18" s="7" t="s">
        <v>59</v>
      </c>
      <c r="BC18" s="48">
        <f>MAX(BC16,BC20)</f>
        <v>2.2143375000000007E-05</v>
      </c>
      <c r="BE18"/>
    </row>
    <row r="19" spans="3:57" s="11" customFormat="1" ht="22.5" customHeight="1">
      <c r="C19" s="7"/>
      <c r="D19" s="7"/>
      <c r="E19" s="88"/>
      <c r="F19" s="7"/>
      <c r="G19" s="56"/>
      <c r="H19" s="7"/>
      <c r="I19" s="52"/>
      <c r="J19" s="7"/>
      <c r="K19" s="56"/>
      <c r="L19" s="7"/>
      <c r="M19" s="20"/>
      <c r="N19" s="7"/>
      <c r="O19" s="48"/>
      <c r="Q19" s="59"/>
      <c r="R19" s="7"/>
      <c r="S19" s="56"/>
      <c r="T19" s="7"/>
      <c r="U19" s="20"/>
      <c r="V19" s="7"/>
      <c r="W19" s="41"/>
      <c r="Y19" s="62"/>
      <c r="Z19" s="7"/>
      <c r="AA19" s="56"/>
      <c r="AB19" s="7"/>
      <c r="AC19" s="20"/>
      <c r="AD19" s="7"/>
      <c r="AE19" s="48"/>
      <c r="AG19" s="52"/>
      <c r="AH19" s="7"/>
      <c r="AI19" s="56"/>
      <c r="AJ19" s="7"/>
      <c r="AK19" s="20"/>
      <c r="AL19" s="7"/>
      <c r="AM19" s="48"/>
      <c r="AO19" s="52"/>
      <c r="AP19" s="7"/>
      <c r="AQ19" s="56"/>
      <c r="AR19" s="7"/>
      <c r="AS19" s="20"/>
      <c r="AT19" s="7"/>
      <c r="AU19" s="48"/>
      <c r="AW19" s="52"/>
      <c r="AX19" s="7"/>
      <c r="AY19" s="56"/>
      <c r="AZ19" s="7"/>
      <c r="BA19" s="20"/>
      <c r="BB19" s="7"/>
      <c r="BC19" s="48"/>
      <c r="BE19"/>
    </row>
    <row r="20" spans="3:57" s="11" customFormat="1" ht="22.5" customHeight="1" thickBot="1">
      <c r="C20" s="7"/>
      <c r="D20" s="7"/>
      <c r="E20" s="88"/>
      <c r="F20" s="7"/>
      <c r="G20" s="7"/>
      <c r="H20" s="7"/>
      <c r="I20" s="53"/>
      <c r="J20" s="9"/>
      <c r="K20" s="18"/>
      <c r="L20" s="9"/>
      <c r="M20" s="18"/>
      <c r="N20" s="9"/>
      <c r="O20" s="49"/>
      <c r="Q20" s="60">
        <f>O25</f>
        <v>0.11666666666666667</v>
      </c>
      <c r="R20" s="9" t="s">
        <v>58</v>
      </c>
      <c r="S20" s="18">
        <f>$B$12</f>
        <v>0.05</v>
      </c>
      <c r="T20" s="9" t="s">
        <v>58</v>
      </c>
      <c r="U20" s="18">
        <f>IF(S$14=6,$D$11,(1-$D$11)/5)</f>
        <v>0.1</v>
      </c>
      <c r="V20" s="9" t="s">
        <v>59</v>
      </c>
      <c r="W20" s="42">
        <f>Q20*S20*U20</f>
        <v>0.0005833333333333334</v>
      </c>
      <c r="Y20" s="63">
        <f>W25</f>
        <v>0.018472222222222223</v>
      </c>
      <c r="Z20" s="9" t="s">
        <v>58</v>
      </c>
      <c r="AA20" s="18">
        <f>$B$12</f>
        <v>0.05</v>
      </c>
      <c r="AB20" s="9" t="s">
        <v>58</v>
      </c>
      <c r="AC20" s="18">
        <f>IF(AA$14=6,$D$11,(1-$D$11)/5)</f>
        <v>0.1</v>
      </c>
      <c r="AD20" s="9" t="s">
        <v>59</v>
      </c>
      <c r="AE20" s="49">
        <f>Y20*AA20*AC20</f>
        <v>9.236111111111112E-05</v>
      </c>
      <c r="AG20" s="53">
        <f>AE25</f>
        <v>0.002924768518518519</v>
      </c>
      <c r="AH20" s="9" t="s">
        <v>58</v>
      </c>
      <c r="AI20" s="18">
        <f>$B$12</f>
        <v>0.05</v>
      </c>
      <c r="AJ20" s="9" t="s">
        <v>58</v>
      </c>
      <c r="AK20" s="18">
        <f>IF(AI$14=6,$D$11,(1-$D$11)/5)</f>
        <v>0.5</v>
      </c>
      <c r="AL20" s="9" t="s">
        <v>59</v>
      </c>
      <c r="AM20" s="49">
        <f>AG20*AI20*AK20</f>
        <v>7.311921296296297E-05</v>
      </c>
      <c r="AO20" s="53">
        <f>AM25</f>
        <v>0.0004630883487654321</v>
      </c>
      <c r="AP20" s="9" t="s">
        <v>58</v>
      </c>
      <c r="AQ20" s="18">
        <f>$B$12</f>
        <v>0.05</v>
      </c>
      <c r="AR20" s="9" t="s">
        <v>58</v>
      </c>
      <c r="AS20" s="18">
        <f>IF(AQ$14=6,$D$11,(1-$D$11)/5)</f>
        <v>0.5</v>
      </c>
      <c r="AT20" s="9" t="s">
        <v>59</v>
      </c>
      <c r="AU20" s="49">
        <f>AO20*AQ20*AS20</f>
        <v>1.1577208719135804E-05</v>
      </c>
      <c r="AW20" s="53">
        <f>AU25</f>
        <v>7.332232188786008E-05</v>
      </c>
      <c r="AX20" s="9" t="s">
        <v>58</v>
      </c>
      <c r="AY20" s="18">
        <f>$B$12</f>
        <v>0.05</v>
      </c>
      <c r="AZ20" s="9" t="s">
        <v>58</v>
      </c>
      <c r="BA20" s="18">
        <f>IF(AY$14=6,$D$11,(1-$D$11)/5)</f>
        <v>0.5</v>
      </c>
      <c r="BB20" s="9" t="s">
        <v>59</v>
      </c>
      <c r="BC20" s="49">
        <f>AW20*AY20*BA20</f>
        <v>1.833058047196502E-06</v>
      </c>
      <c r="BE20"/>
    </row>
    <row r="21" spans="3:57" s="11" customFormat="1" ht="22.5" customHeight="1">
      <c r="C21" s="7"/>
      <c r="D21" s="7"/>
      <c r="E21" s="207" t="s">
        <v>5</v>
      </c>
      <c r="F21" s="7"/>
      <c r="G21" s="7"/>
      <c r="H21" s="7"/>
      <c r="I21" s="7"/>
      <c r="J21" s="7"/>
      <c r="K21" s="14"/>
      <c r="L21" s="7"/>
      <c r="M21" s="7"/>
      <c r="O21" s="26"/>
      <c r="Q21" s="36"/>
      <c r="R21" s="7"/>
      <c r="S21" s="7"/>
      <c r="T21" s="7"/>
      <c r="U21" s="56"/>
      <c r="W21" s="26"/>
      <c r="Y21" s="7"/>
      <c r="Z21" s="7"/>
      <c r="AA21" s="56"/>
      <c r="AB21" s="7"/>
      <c r="AC21" s="56"/>
      <c r="AE21" s="50"/>
      <c r="AG21" s="54"/>
      <c r="AH21" s="7"/>
      <c r="AI21" s="56"/>
      <c r="AJ21" s="7"/>
      <c r="AK21" s="56"/>
      <c r="AM21" s="50"/>
      <c r="AO21" s="54"/>
      <c r="AP21" s="7"/>
      <c r="AQ21" s="56"/>
      <c r="AR21" s="7"/>
      <c r="AS21" s="56"/>
      <c r="AU21" s="50"/>
      <c r="AW21" s="50"/>
      <c r="AX21" s="7"/>
      <c r="AY21" s="56"/>
      <c r="AZ21" s="7"/>
      <c r="BA21" s="56"/>
      <c r="BC21" s="50"/>
      <c r="BE21"/>
    </row>
    <row r="22" spans="3:57" s="11" customFormat="1" ht="22.5" customHeight="1" thickBot="1">
      <c r="C22" s="7"/>
      <c r="D22" s="7"/>
      <c r="E22" s="208"/>
      <c r="F22" s="7"/>
      <c r="G22" s="7"/>
      <c r="H22" s="7"/>
      <c r="I22" s="7"/>
      <c r="J22" s="7"/>
      <c r="K22" s="14"/>
      <c r="L22" s="7"/>
      <c r="M22" s="7"/>
      <c r="O22" s="26"/>
      <c r="Q22" s="36"/>
      <c r="R22" s="7"/>
      <c r="S22" s="7"/>
      <c r="T22" s="7"/>
      <c r="U22" s="56"/>
      <c r="W22" s="26"/>
      <c r="Y22" s="7"/>
      <c r="Z22" s="7"/>
      <c r="AA22" s="56"/>
      <c r="AB22" s="7"/>
      <c r="AC22" s="56"/>
      <c r="AE22" s="50"/>
      <c r="AG22" s="54"/>
      <c r="AH22" s="7"/>
      <c r="AI22" s="56"/>
      <c r="AJ22" s="7"/>
      <c r="AK22" s="56"/>
      <c r="AM22" s="50"/>
      <c r="AO22" s="54"/>
      <c r="AP22" s="7"/>
      <c r="AQ22" s="56"/>
      <c r="AR22" s="7"/>
      <c r="AS22" s="56"/>
      <c r="AU22" s="50"/>
      <c r="AW22" s="50"/>
      <c r="AX22" s="7"/>
      <c r="AY22" s="56"/>
      <c r="AZ22" s="7"/>
      <c r="BA22" s="56"/>
      <c r="BC22" s="50"/>
      <c r="BE22"/>
    </row>
    <row r="23" spans="3:57" s="11" customFormat="1" ht="22.5" customHeight="1">
      <c r="C23" s="7"/>
      <c r="D23" s="7"/>
      <c r="E23" s="88"/>
      <c r="F23" s="7"/>
      <c r="G23" s="7"/>
      <c r="H23" s="7"/>
      <c r="I23" s="28"/>
      <c r="J23" s="5"/>
      <c r="K23" s="29"/>
      <c r="L23" s="5"/>
      <c r="M23" s="17"/>
      <c r="N23" s="5"/>
      <c r="O23" s="40"/>
      <c r="Q23" s="58">
        <f>O18</f>
        <v>0.03</v>
      </c>
      <c r="R23" s="5" t="s">
        <v>58</v>
      </c>
      <c r="S23" s="17">
        <f>$C$11</f>
        <v>0.09999999999999998</v>
      </c>
      <c r="T23" s="5" t="s">
        <v>58</v>
      </c>
      <c r="U23" s="17">
        <f>IF(S$14=6,$D$12,(1-$D$12)/5)</f>
        <v>0.16666666666666669</v>
      </c>
      <c r="V23" s="12" t="s">
        <v>59</v>
      </c>
      <c r="W23" s="40">
        <f>Q23*S23*U23</f>
        <v>0.0004999999999999999</v>
      </c>
      <c r="Y23" s="4">
        <f>W18</f>
        <v>0.0027</v>
      </c>
      <c r="Z23" s="5" t="s">
        <v>58</v>
      </c>
      <c r="AA23" s="17">
        <f>$C$11</f>
        <v>0.09999999999999998</v>
      </c>
      <c r="AB23" s="5" t="s">
        <v>58</v>
      </c>
      <c r="AC23" s="17">
        <f>IF(AA$14=6,$D$12,(1-$D$12)/5)</f>
        <v>0.16666666666666669</v>
      </c>
      <c r="AD23" s="12" t="s">
        <v>59</v>
      </c>
      <c r="AE23" s="47">
        <f>Y23*AA23*AC23</f>
        <v>4.4999999999999996E-05</v>
      </c>
      <c r="AG23" s="51">
        <f>AE18</f>
        <v>0.00024300000000000005</v>
      </c>
      <c r="AH23" s="5" t="s">
        <v>58</v>
      </c>
      <c r="AI23" s="17">
        <f>$C$11</f>
        <v>0.09999999999999998</v>
      </c>
      <c r="AJ23" s="5" t="s">
        <v>58</v>
      </c>
      <c r="AK23" s="17">
        <f>IF(AI$14=6,$D$12,(1-$D$12)/5)</f>
        <v>0.16666666666666666</v>
      </c>
      <c r="AL23" s="12" t="s">
        <v>59</v>
      </c>
      <c r="AM23" s="47">
        <f>AG23*AI23*AK23</f>
        <v>4.05E-06</v>
      </c>
      <c r="AO23" s="51">
        <f>AM18</f>
        <v>0.00010935000000000003</v>
      </c>
      <c r="AP23" s="5" t="s">
        <v>58</v>
      </c>
      <c r="AQ23" s="17">
        <f>$C$11</f>
        <v>0.09999999999999998</v>
      </c>
      <c r="AR23" s="5" t="s">
        <v>58</v>
      </c>
      <c r="AS23" s="17">
        <f>IF(AQ$14=6,$D$12,(1-$D$12)/5)</f>
        <v>0.16666666666666666</v>
      </c>
      <c r="AT23" s="12" t="s">
        <v>59</v>
      </c>
      <c r="AU23" s="47">
        <f>AO23*AQ23*AS23</f>
        <v>1.8225000000000001E-06</v>
      </c>
      <c r="AW23" s="51">
        <f>AU18</f>
        <v>4.920750000000001E-05</v>
      </c>
      <c r="AX23" s="5" t="s">
        <v>58</v>
      </c>
      <c r="AY23" s="17">
        <f>$C$11</f>
        <v>0.09999999999999998</v>
      </c>
      <c r="AZ23" s="5" t="s">
        <v>58</v>
      </c>
      <c r="BA23" s="17">
        <f>IF(AY$14=6,$D$12,(1-$D$12)/5)</f>
        <v>0.16666666666666666</v>
      </c>
      <c r="BB23" s="12" t="s">
        <v>59</v>
      </c>
      <c r="BC23" s="47">
        <f>AW23*AY23*BA23</f>
        <v>8.20125E-07</v>
      </c>
      <c r="BE23"/>
    </row>
    <row r="24" spans="3:57" s="11" customFormat="1" ht="22.5" customHeight="1">
      <c r="C24" s="7"/>
      <c r="D24" s="7"/>
      <c r="E24" s="88"/>
      <c r="F24" s="7"/>
      <c r="G24" s="7"/>
      <c r="H24" s="7"/>
      <c r="I24" s="6"/>
      <c r="J24" s="7"/>
      <c r="K24" s="56"/>
      <c r="L24" s="7"/>
      <c r="M24" s="56"/>
      <c r="N24" s="7"/>
      <c r="O24" s="41"/>
      <c r="Q24" s="59"/>
      <c r="R24" s="7"/>
      <c r="S24" s="56"/>
      <c r="T24" s="7"/>
      <c r="U24" s="56"/>
      <c r="V24" s="27"/>
      <c r="W24" s="41"/>
      <c r="Y24" s="6"/>
      <c r="Z24" s="7"/>
      <c r="AA24" s="56"/>
      <c r="AB24" s="7"/>
      <c r="AC24" s="56"/>
      <c r="AD24" s="27"/>
      <c r="AE24" s="48"/>
      <c r="AG24" s="52"/>
      <c r="AH24" s="7"/>
      <c r="AI24" s="56"/>
      <c r="AJ24" s="7"/>
      <c r="AK24" s="56"/>
      <c r="AL24" s="27"/>
      <c r="AM24" s="48"/>
      <c r="AO24" s="52"/>
      <c r="AP24" s="7"/>
      <c r="AQ24" s="56"/>
      <c r="AR24" s="7"/>
      <c r="AS24" s="56"/>
      <c r="AT24" s="27"/>
      <c r="AU24" s="48"/>
      <c r="AW24" s="52"/>
      <c r="AX24" s="7"/>
      <c r="AY24" s="56"/>
      <c r="AZ24" s="7"/>
      <c r="BA24" s="56"/>
      <c r="BB24" s="27"/>
      <c r="BC24" s="48"/>
      <c r="BE24"/>
    </row>
    <row r="25" spans="3:57" s="11" customFormat="1" ht="22.5" customHeight="1">
      <c r="C25" s="7"/>
      <c r="D25" s="7"/>
      <c r="E25" s="88" t="s">
        <v>3</v>
      </c>
      <c r="F25" s="7"/>
      <c r="G25" s="56">
        <f>C10</f>
        <v>0.7</v>
      </c>
      <c r="H25" s="7"/>
      <c r="I25" s="212">
        <f>G25</f>
        <v>0.7</v>
      </c>
      <c r="J25" s="214"/>
      <c r="K25" s="214"/>
      <c r="L25" s="7" t="s">
        <v>58</v>
      </c>
      <c r="M25" s="56">
        <f>IF(K$14=6,$D$12,(1-$D$12)/5)</f>
        <v>0.16666666666666669</v>
      </c>
      <c r="N25" s="7" t="s">
        <v>59</v>
      </c>
      <c r="O25" s="77">
        <f>I25*M25</f>
        <v>0.11666666666666667</v>
      </c>
      <c r="Q25" s="59"/>
      <c r="R25" s="7"/>
      <c r="S25" s="7"/>
      <c r="T25" s="7"/>
      <c r="U25" s="20" t="s">
        <v>1</v>
      </c>
      <c r="V25" s="27" t="s">
        <v>59</v>
      </c>
      <c r="W25" s="41">
        <f>MAX(W23,W27)</f>
        <v>0.018472222222222223</v>
      </c>
      <c r="Y25" s="6"/>
      <c r="Z25" s="7"/>
      <c r="AA25" s="56"/>
      <c r="AB25" s="7"/>
      <c r="AC25" s="20" t="s">
        <v>1</v>
      </c>
      <c r="AD25" s="27" t="s">
        <v>59</v>
      </c>
      <c r="AE25" s="48">
        <f>MAX(AE23,AE27)</f>
        <v>0.002924768518518519</v>
      </c>
      <c r="AG25" s="52"/>
      <c r="AH25" s="7"/>
      <c r="AI25" s="56"/>
      <c r="AJ25" s="7"/>
      <c r="AK25" s="20" t="s">
        <v>1</v>
      </c>
      <c r="AL25" s="27" t="s">
        <v>59</v>
      </c>
      <c r="AM25" s="48">
        <f>MAX(AM23,AM27)</f>
        <v>0.0004630883487654321</v>
      </c>
      <c r="AO25" s="52"/>
      <c r="AP25" s="7"/>
      <c r="AQ25" s="56"/>
      <c r="AR25" s="7"/>
      <c r="AS25" s="20" t="s">
        <v>1</v>
      </c>
      <c r="AT25" s="27" t="s">
        <v>59</v>
      </c>
      <c r="AU25" s="48">
        <f>MAX(AU23,AU27)</f>
        <v>7.332232188786008E-05</v>
      </c>
      <c r="AW25" s="52"/>
      <c r="AX25" s="7"/>
      <c r="AY25" s="56"/>
      <c r="AZ25" s="7"/>
      <c r="BA25" s="20" t="s">
        <v>1</v>
      </c>
      <c r="BB25" s="27" t="s">
        <v>59</v>
      </c>
      <c r="BC25" s="48">
        <f>MAX(BC23,BC27)</f>
        <v>1.160936763224451E-05</v>
      </c>
      <c r="BE25"/>
    </row>
    <row r="26" spans="3:57" s="11" customFormat="1" ht="22.5" customHeight="1">
      <c r="C26" s="7"/>
      <c r="D26" s="7"/>
      <c r="E26" s="7"/>
      <c r="F26" s="7"/>
      <c r="G26" s="56"/>
      <c r="H26" s="7"/>
      <c r="I26" s="6"/>
      <c r="J26" s="7"/>
      <c r="K26" s="7"/>
      <c r="L26" s="7"/>
      <c r="M26" s="7"/>
      <c r="N26" s="7"/>
      <c r="O26" s="41"/>
      <c r="Q26" s="59"/>
      <c r="R26" s="7"/>
      <c r="S26" s="7"/>
      <c r="T26" s="7"/>
      <c r="U26" s="20"/>
      <c r="V26" s="27"/>
      <c r="W26" s="41"/>
      <c r="Y26" s="6"/>
      <c r="Z26" s="7"/>
      <c r="AA26" s="56"/>
      <c r="AB26" s="7"/>
      <c r="AC26" s="20"/>
      <c r="AD26" s="27"/>
      <c r="AE26" s="48"/>
      <c r="AG26" s="52"/>
      <c r="AH26" s="7"/>
      <c r="AI26" s="56"/>
      <c r="AJ26" s="7"/>
      <c r="AK26" s="20"/>
      <c r="AL26" s="27"/>
      <c r="AM26" s="48"/>
      <c r="AO26" s="52"/>
      <c r="AP26" s="7"/>
      <c r="AQ26" s="56"/>
      <c r="AR26" s="7"/>
      <c r="AS26" s="20"/>
      <c r="AT26" s="27"/>
      <c r="AU26" s="48"/>
      <c r="AW26" s="52"/>
      <c r="AX26" s="7"/>
      <c r="AY26" s="56"/>
      <c r="AZ26" s="7"/>
      <c r="BA26" s="20"/>
      <c r="BB26" s="27"/>
      <c r="BC26" s="48"/>
      <c r="BE26"/>
    </row>
    <row r="27" spans="3:57" s="11" customFormat="1" ht="22.5" customHeight="1" thickBot="1">
      <c r="C27" s="7"/>
      <c r="D27" s="7"/>
      <c r="F27" s="7"/>
      <c r="G27" s="7"/>
      <c r="H27" s="7"/>
      <c r="I27" s="3"/>
      <c r="J27" s="43"/>
      <c r="K27" s="43"/>
      <c r="L27" s="43"/>
      <c r="M27" s="43"/>
      <c r="N27" s="43"/>
      <c r="O27" s="44"/>
      <c r="Q27" s="60">
        <f>O25</f>
        <v>0.11666666666666667</v>
      </c>
      <c r="R27" s="9" t="s">
        <v>58</v>
      </c>
      <c r="S27" s="18">
        <f>$C$12</f>
        <v>0.95</v>
      </c>
      <c r="T27" s="9" t="s">
        <v>58</v>
      </c>
      <c r="U27" s="18">
        <f>IF(S$14=6,$D$12,(1-$D$12)/5)</f>
        <v>0.16666666666666669</v>
      </c>
      <c r="V27" s="13" t="s">
        <v>59</v>
      </c>
      <c r="W27" s="42">
        <f>Q27*S27*U27</f>
        <v>0.018472222222222223</v>
      </c>
      <c r="Y27" s="60">
        <f>W25</f>
        <v>0.018472222222222223</v>
      </c>
      <c r="Z27" s="9" t="s">
        <v>58</v>
      </c>
      <c r="AA27" s="18">
        <f>$C$12</f>
        <v>0.95</v>
      </c>
      <c r="AB27" s="9" t="s">
        <v>58</v>
      </c>
      <c r="AC27" s="18">
        <f>IF(AA$14=6,$D$12,(1-$D$12)/5)</f>
        <v>0.16666666666666669</v>
      </c>
      <c r="AD27" s="13" t="s">
        <v>59</v>
      </c>
      <c r="AE27" s="49">
        <f>Y27*AA27*AC27</f>
        <v>0.002924768518518519</v>
      </c>
      <c r="AG27" s="53">
        <f>AE25</f>
        <v>0.002924768518518519</v>
      </c>
      <c r="AH27" s="9" t="s">
        <v>58</v>
      </c>
      <c r="AI27" s="18">
        <f>$C$12</f>
        <v>0.95</v>
      </c>
      <c r="AJ27" s="9" t="s">
        <v>58</v>
      </c>
      <c r="AK27" s="18">
        <f>IF(AI$14=6,$D$12,(1-$D$12)/5)</f>
        <v>0.16666666666666666</v>
      </c>
      <c r="AL27" s="13" t="s">
        <v>59</v>
      </c>
      <c r="AM27" s="49">
        <f>AG27*AI27*AK27</f>
        <v>0.0004630883487654321</v>
      </c>
      <c r="AO27" s="53">
        <f>AM25</f>
        <v>0.0004630883487654321</v>
      </c>
      <c r="AP27" s="9" t="s">
        <v>58</v>
      </c>
      <c r="AQ27" s="18">
        <f>$C$12</f>
        <v>0.95</v>
      </c>
      <c r="AR27" s="9" t="s">
        <v>58</v>
      </c>
      <c r="AS27" s="18">
        <f>IF(AQ$14=6,$D$12,(1-$D$12)/5)</f>
        <v>0.16666666666666666</v>
      </c>
      <c r="AT27" s="13" t="s">
        <v>59</v>
      </c>
      <c r="AU27" s="49">
        <f>AO27*AQ27*AS27</f>
        <v>7.332232188786008E-05</v>
      </c>
      <c r="AW27" s="53">
        <f>AU25</f>
        <v>7.332232188786008E-05</v>
      </c>
      <c r="AX27" s="9" t="s">
        <v>58</v>
      </c>
      <c r="AY27" s="18">
        <f>$C$12</f>
        <v>0.95</v>
      </c>
      <c r="AZ27" s="9" t="s">
        <v>58</v>
      </c>
      <c r="BA27" s="18">
        <f>IF(AY$14=6,$D$12,(1-$D$12)/5)</f>
        <v>0.16666666666666666</v>
      </c>
      <c r="BB27" s="13" t="s">
        <v>59</v>
      </c>
      <c r="BC27" s="49">
        <f>AW27*AY27*BA27</f>
        <v>1.160936763224451E-05</v>
      </c>
      <c r="BE27"/>
    </row>
    <row r="28" spans="3:57" s="11" customFormat="1" ht="22.5" customHeight="1">
      <c r="C28" s="7"/>
      <c r="D28" s="7"/>
      <c r="E28" s="7"/>
      <c r="F28" s="7"/>
      <c r="G28" s="7"/>
      <c r="H28" s="7"/>
      <c r="I28" s="36"/>
      <c r="J28" s="7"/>
      <c r="K28" s="7"/>
      <c r="L28" s="7"/>
      <c r="M28" s="7"/>
      <c r="N28" s="7"/>
      <c r="O28" s="27"/>
      <c r="Q28" s="36"/>
      <c r="R28" s="7"/>
      <c r="S28" s="7"/>
      <c r="T28" s="7"/>
      <c r="U28" s="7"/>
      <c r="V28" s="7"/>
      <c r="W28" s="27"/>
      <c r="AE28" s="50"/>
      <c r="AG28" s="50"/>
      <c r="AM28" s="50"/>
      <c r="AO28" s="50"/>
      <c r="AU28" s="50"/>
      <c r="AW28" s="50"/>
      <c r="BC28" s="50"/>
      <c r="BE28"/>
    </row>
    <row r="29" spans="9:53" ht="22.5" customHeight="1">
      <c r="I29" s="37"/>
      <c r="J29" s="30" t="s">
        <v>9</v>
      </c>
      <c r="L29" s="30"/>
      <c r="M29" s="30" t="s">
        <v>8</v>
      </c>
      <c r="Q29" s="37" t="s">
        <v>6</v>
      </c>
      <c r="R29" s="30"/>
      <c r="S29" s="30" t="s">
        <v>7</v>
      </c>
      <c r="T29" s="30"/>
      <c r="U29" s="30" t="s">
        <v>8</v>
      </c>
      <c r="V29" s="21"/>
      <c r="Y29" s="30" t="s">
        <v>6</v>
      </c>
      <c r="Z29" s="30"/>
      <c r="AA29" s="30" t="s">
        <v>7</v>
      </c>
      <c r="AB29" s="30"/>
      <c r="AC29" s="30" t="s">
        <v>8</v>
      </c>
      <c r="AG29" s="55" t="s">
        <v>6</v>
      </c>
      <c r="AH29" s="30"/>
      <c r="AI29" s="30" t="s">
        <v>7</v>
      </c>
      <c r="AJ29" s="30"/>
      <c r="AK29" s="30" t="s">
        <v>8</v>
      </c>
      <c r="AO29" s="55" t="s">
        <v>6</v>
      </c>
      <c r="AP29" s="30"/>
      <c r="AQ29" s="30" t="s">
        <v>7</v>
      </c>
      <c r="AR29" s="30"/>
      <c r="AS29" s="30" t="s">
        <v>8</v>
      </c>
      <c r="AW29" s="55" t="s">
        <v>10</v>
      </c>
      <c r="AX29" s="30"/>
      <c r="AY29" s="30" t="s">
        <v>7</v>
      </c>
      <c r="AZ29" s="30"/>
      <c r="BA29" s="30" t="s">
        <v>8</v>
      </c>
    </row>
    <row r="30" ht="22.5" customHeight="1"/>
    <row r="31" spans="3:57" s="45" customFormat="1" ht="22.5" customHeight="1">
      <c r="C31" s="57"/>
      <c r="D31" s="57"/>
      <c r="E31" s="57" t="s">
        <v>11</v>
      </c>
      <c r="F31" s="57"/>
      <c r="G31" s="57"/>
      <c r="H31" s="57"/>
      <c r="I31" s="57"/>
      <c r="J31" s="57"/>
      <c r="K31" s="57"/>
      <c r="L31" s="57"/>
      <c r="M31" s="57"/>
      <c r="O31" s="45">
        <f>IF(OR(AND(W31=1,W25=W27),AND(W31=0,W20=W18)),1,0)</f>
        <v>0</v>
      </c>
      <c r="W31" s="45">
        <f>IF(OR(AND(AE31=1,AE25=AE27),AND(AE31=0,AE20=AE18)),1,0)</f>
        <v>0</v>
      </c>
      <c r="AE31" s="45">
        <f>IF(OR(AND(AM31=1,AM25=AM27),AND(AM31=0,AM20=AM18)),1,0)</f>
        <v>0</v>
      </c>
      <c r="AM31" s="45">
        <f>IF(OR(AND(BC31=1,BC25=BC27),AND(BC31=0,BC20=BC18)),1,0)</f>
        <v>0</v>
      </c>
      <c r="AU31" s="45">
        <f>IF(OR(AND(BC31=1,BC25=BC27),AND(BC31=0,BC20=BC18)),1,0)</f>
        <v>0</v>
      </c>
      <c r="BC31" s="45">
        <f>IF(BC25&gt;BC18,1,0)</f>
        <v>0</v>
      </c>
      <c r="BE31"/>
    </row>
    <row r="37" spans="5:55" ht="22.5">
      <c r="E37" s="1" t="s">
        <v>13</v>
      </c>
      <c r="K37"/>
      <c r="L37"/>
      <c r="M37"/>
      <c r="N37"/>
      <c r="O37" s="2">
        <f>O25/O18</f>
        <v>3.8888888888888893</v>
      </c>
      <c r="P37"/>
      <c r="Q37"/>
      <c r="R37"/>
      <c r="S37"/>
      <c r="T37"/>
      <c r="W37" s="2">
        <f>W25/W18</f>
        <v>6.841563786008231</v>
      </c>
      <c r="AE37" s="2">
        <f>AE25/AE18</f>
        <v>12.036084438347812</v>
      </c>
      <c r="AM37" s="2">
        <f>AM25/AM18</f>
        <v>4.234918598677933</v>
      </c>
      <c r="AU37" s="2">
        <f>AU25/AU18</f>
        <v>1.49006395138668</v>
      </c>
      <c r="BC37" s="2">
        <f>BC25/BC18</f>
        <v>0.524281760673091</v>
      </c>
    </row>
    <row r="40" spans="13:15" ht="22.5">
      <c r="M40"/>
      <c r="N40"/>
      <c r="O40"/>
    </row>
    <row r="41" spans="13:15" ht="22.5">
      <c r="M41"/>
      <c r="N41"/>
      <c r="O41"/>
    </row>
    <row r="42" spans="13:15" ht="22.5">
      <c r="M42"/>
      <c r="N42"/>
      <c r="O42"/>
    </row>
    <row r="43" spans="13:15" ht="22.5">
      <c r="M43"/>
      <c r="N43"/>
      <c r="O43"/>
    </row>
    <row r="44" spans="13:15" ht="22.5">
      <c r="M44"/>
      <c r="N44"/>
      <c r="O44"/>
    </row>
    <row r="45" spans="13:15" ht="22.5">
      <c r="M45"/>
      <c r="N45"/>
      <c r="O45"/>
    </row>
    <row r="46" spans="13:15" ht="22.5">
      <c r="M46"/>
      <c r="N46"/>
      <c r="O46"/>
    </row>
    <row r="47" spans="13:15" ht="22.5">
      <c r="M47"/>
      <c r="N47"/>
      <c r="O47"/>
    </row>
    <row r="48" spans="13:15" ht="22.5">
      <c r="M48"/>
      <c r="N48"/>
      <c r="O48"/>
    </row>
    <row r="49" spans="13:15" ht="22.5">
      <c r="M49"/>
      <c r="N49"/>
      <c r="O49"/>
    </row>
    <row r="50" spans="13:15" ht="22.5">
      <c r="M50"/>
      <c r="N50"/>
      <c r="O50"/>
    </row>
    <row r="51" spans="13:15" ht="22.5">
      <c r="M51"/>
      <c r="N51"/>
      <c r="O51"/>
    </row>
    <row r="52" spans="13:15" ht="22.5">
      <c r="M52"/>
      <c r="N52"/>
      <c r="O52"/>
    </row>
    <row r="53" spans="13:15" ht="22.5">
      <c r="M53"/>
      <c r="N53"/>
      <c r="O53"/>
    </row>
    <row r="54" spans="13:15" ht="22.5">
      <c r="M54"/>
      <c r="N54"/>
      <c r="O54"/>
    </row>
    <row r="55" spans="13:15" ht="22.5">
      <c r="M55"/>
      <c r="N55"/>
      <c r="O55"/>
    </row>
    <row r="56" spans="13:15" ht="22.5">
      <c r="M56"/>
      <c r="N56"/>
      <c r="O56"/>
    </row>
    <row r="57" spans="13:15" ht="22.5">
      <c r="M57"/>
      <c r="N57"/>
      <c r="O57"/>
    </row>
    <row r="58" spans="13:15" ht="22.5">
      <c r="M58"/>
      <c r="N58"/>
      <c r="O58"/>
    </row>
    <row r="59" spans="13:15" ht="22.5">
      <c r="M59"/>
      <c r="N59"/>
      <c r="O59"/>
    </row>
    <row r="60" spans="13:15" ht="22.5">
      <c r="M60"/>
      <c r="N60"/>
      <c r="O60"/>
    </row>
    <row r="61" spans="13:15" ht="22.5">
      <c r="M61"/>
      <c r="N61"/>
      <c r="O61"/>
    </row>
    <row r="62" spans="13:15" ht="22.5">
      <c r="M62"/>
      <c r="N62"/>
      <c r="O62"/>
    </row>
    <row r="63" spans="13:15" ht="22.5">
      <c r="M63"/>
      <c r="N63"/>
      <c r="O63"/>
    </row>
    <row r="64" spans="13:15" ht="22.5">
      <c r="M64"/>
      <c r="N64"/>
      <c r="O64"/>
    </row>
    <row r="65" spans="13:15" ht="22.5">
      <c r="M65"/>
      <c r="N65"/>
      <c r="O65"/>
    </row>
    <row r="66" spans="13:15" ht="22.5">
      <c r="M66"/>
      <c r="N66"/>
      <c r="O66"/>
    </row>
    <row r="67" spans="13:15" ht="22.5">
      <c r="M67"/>
      <c r="N67"/>
      <c r="O67"/>
    </row>
    <row r="68" spans="13:15" ht="22.5">
      <c r="M68"/>
      <c r="N68"/>
      <c r="O68"/>
    </row>
    <row r="69" spans="13:15" ht="22.5">
      <c r="M69"/>
      <c r="N69"/>
      <c r="O69"/>
    </row>
    <row r="70" spans="13:15" ht="22.5">
      <c r="M70"/>
      <c r="N70"/>
      <c r="O70"/>
    </row>
    <row r="71" spans="13:15" ht="22.5">
      <c r="M71"/>
      <c r="N71"/>
      <c r="O71"/>
    </row>
    <row r="72" spans="13:15" ht="22.5">
      <c r="M72"/>
      <c r="N72"/>
      <c r="O72"/>
    </row>
    <row r="73" spans="13:15" ht="22.5">
      <c r="M73"/>
      <c r="N73"/>
      <c r="O73"/>
    </row>
    <row r="74" spans="13:15" ht="22.5">
      <c r="M74"/>
      <c r="N74"/>
      <c r="O74"/>
    </row>
    <row r="75" spans="13:15" ht="22.5">
      <c r="M75"/>
      <c r="N75"/>
      <c r="O75"/>
    </row>
    <row r="76" spans="13:15" ht="22.5">
      <c r="M76"/>
      <c r="N76"/>
      <c r="O76"/>
    </row>
    <row r="77" spans="13:15" ht="22.5">
      <c r="M77"/>
      <c r="N77"/>
      <c r="O77"/>
    </row>
    <row r="78" spans="13:15" ht="22.5">
      <c r="M78"/>
      <c r="N78"/>
      <c r="O78"/>
    </row>
    <row r="79" spans="13:15" ht="22.5">
      <c r="M79"/>
      <c r="N79"/>
      <c r="O79"/>
    </row>
    <row r="80" spans="13:15" ht="22.5">
      <c r="M80"/>
      <c r="N80"/>
      <c r="O80"/>
    </row>
    <row r="81" spans="13:15" ht="22.5">
      <c r="M81"/>
      <c r="N81"/>
      <c r="O81"/>
    </row>
    <row r="82" spans="13:15" ht="22.5">
      <c r="M82"/>
      <c r="N82"/>
      <c r="O82"/>
    </row>
    <row r="83" spans="13:15" ht="22.5">
      <c r="M83"/>
      <c r="N83"/>
      <c r="O83"/>
    </row>
    <row r="84" spans="13:15" ht="22.5">
      <c r="M84"/>
      <c r="N84"/>
      <c r="O84"/>
    </row>
    <row r="85" spans="13:15" ht="22.5">
      <c r="M85"/>
      <c r="N85"/>
      <c r="O85"/>
    </row>
    <row r="86" spans="13:15" ht="22.5">
      <c r="M86"/>
      <c r="N86"/>
      <c r="O86"/>
    </row>
    <row r="87" spans="13:15" ht="22.5">
      <c r="M87"/>
      <c r="N87"/>
      <c r="O87"/>
    </row>
    <row r="88" spans="13:15" ht="22.5">
      <c r="M88"/>
      <c r="N88"/>
      <c r="O88"/>
    </row>
    <row r="89" spans="13:15" ht="22.5">
      <c r="M89"/>
      <c r="N89"/>
      <c r="O89"/>
    </row>
    <row r="90" spans="13:15" ht="22.5">
      <c r="M90"/>
      <c r="N90"/>
      <c r="O90"/>
    </row>
    <row r="91" spans="13:15" ht="22.5">
      <c r="M91"/>
      <c r="N91"/>
      <c r="O91"/>
    </row>
    <row r="92" spans="13:15" ht="22.5">
      <c r="M92"/>
      <c r="N92"/>
      <c r="O92"/>
    </row>
    <row r="93" spans="13:15" ht="22.5">
      <c r="M93"/>
      <c r="N93"/>
      <c r="O93"/>
    </row>
    <row r="94" spans="13:15" ht="22.5">
      <c r="M94"/>
      <c r="N94"/>
      <c r="O94"/>
    </row>
    <row r="95" spans="13:15" ht="22.5">
      <c r="M95"/>
      <c r="N95"/>
      <c r="O95"/>
    </row>
    <row r="96" spans="13:15" ht="22.5">
      <c r="M96"/>
      <c r="N96"/>
      <c r="O96"/>
    </row>
    <row r="97" spans="13:15" ht="22.5">
      <c r="M97"/>
      <c r="N97"/>
      <c r="O97"/>
    </row>
    <row r="98" spans="13:15" ht="22.5">
      <c r="M98"/>
      <c r="N98"/>
      <c r="O98"/>
    </row>
    <row r="99" spans="13:15" ht="22.5">
      <c r="M99"/>
      <c r="N99"/>
      <c r="O99"/>
    </row>
    <row r="100" spans="13:15" ht="22.5">
      <c r="M100"/>
      <c r="N100"/>
      <c r="O100"/>
    </row>
    <row r="101" spans="13:15" ht="22.5">
      <c r="M101"/>
      <c r="N101"/>
      <c r="O101"/>
    </row>
    <row r="102" spans="13:15" ht="22.5">
      <c r="M102"/>
      <c r="N102"/>
      <c r="O102"/>
    </row>
    <row r="103" spans="13:15" ht="22.5">
      <c r="M103"/>
      <c r="N103"/>
      <c r="O103"/>
    </row>
  </sheetData>
  <mergeCells count="8">
    <mergeCell ref="Y8:AA8"/>
    <mergeCell ref="A8:D8"/>
    <mergeCell ref="F14:H14"/>
    <mergeCell ref="I18:K18"/>
    <mergeCell ref="E21:E22"/>
    <mergeCell ref="I25:K25"/>
    <mergeCell ref="Y9:AA9"/>
    <mergeCell ref="Y10:AA10"/>
  </mergeCells>
  <conditionalFormatting sqref="AW16:BC20">
    <cfRule type="expression" priority="1" dxfId="0" stopIfTrue="1">
      <formula>$BC$31=0</formula>
    </cfRule>
  </conditionalFormatting>
  <conditionalFormatting sqref="AO16:AU20">
    <cfRule type="expression" priority="2" dxfId="0" stopIfTrue="1">
      <formula>$AU$31=0</formula>
    </cfRule>
  </conditionalFormatting>
  <conditionalFormatting sqref="AG16:AM20">
    <cfRule type="expression" priority="3" dxfId="0" stopIfTrue="1">
      <formula>$AM$31=0</formula>
    </cfRule>
  </conditionalFormatting>
  <conditionalFormatting sqref="Y16:AE20">
    <cfRule type="expression" priority="4" dxfId="0" stopIfTrue="1">
      <formula>$AE$31=0</formula>
    </cfRule>
  </conditionalFormatting>
  <conditionalFormatting sqref="Q16:W20">
    <cfRule type="expression" priority="5" dxfId="0" stopIfTrue="1">
      <formula>$W$31=0</formula>
    </cfRule>
  </conditionalFormatting>
  <conditionalFormatting sqref="I16:O20">
    <cfRule type="expression" priority="6" dxfId="0" stopIfTrue="1">
      <formula>$O$31=0</formula>
    </cfRule>
  </conditionalFormatting>
  <conditionalFormatting sqref="AO23:AU27">
    <cfRule type="expression" priority="7" dxfId="0" stopIfTrue="1">
      <formula>$AU$31=1</formula>
    </cfRule>
  </conditionalFormatting>
  <conditionalFormatting sqref="AW23:BC27">
    <cfRule type="expression" priority="8" dxfId="0" stopIfTrue="1">
      <formula>$BC$31=1</formula>
    </cfRule>
  </conditionalFormatting>
  <conditionalFormatting sqref="I23:O27">
    <cfRule type="expression" priority="9" dxfId="0" stopIfTrue="1">
      <formula>$O$31=1</formula>
    </cfRule>
  </conditionalFormatting>
  <conditionalFormatting sqref="Q23:W27">
    <cfRule type="expression" priority="10" dxfId="0" stopIfTrue="1">
      <formula>$W$31=1</formula>
    </cfRule>
  </conditionalFormatting>
  <conditionalFormatting sqref="Y23:AE27">
    <cfRule type="expression" priority="11" dxfId="0" stopIfTrue="1">
      <formula>$AE$31=1</formula>
    </cfRule>
  </conditionalFormatting>
  <conditionalFormatting sqref="AG23:AM27">
    <cfRule type="expression" priority="12" dxfId="0" stopIfTrue="1">
      <formula>$AM$31=1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5"/>
  <sheetViews>
    <sheetView workbookViewId="0" topLeftCell="C14">
      <selection activeCell="O7" sqref="O7"/>
    </sheetView>
  </sheetViews>
  <sheetFormatPr defaultColWidth="11.00390625" defaultRowHeight="12.75"/>
  <cols>
    <col min="1" max="1" width="2.25390625" style="93" customWidth="1"/>
    <col min="2" max="2" width="2.25390625" style="93" bestFit="1" customWidth="1"/>
    <col min="3" max="3" width="2.125" style="93" customWidth="1"/>
    <col min="4" max="6" width="5.625" style="93" customWidth="1"/>
    <col min="7" max="7" width="7.75390625" style="94" bestFit="1" customWidth="1"/>
    <col min="8" max="8" width="1.875" style="95" bestFit="1" customWidth="1"/>
    <col min="9" max="9" width="4.375" style="96" bestFit="1" customWidth="1"/>
    <col min="10" max="10" width="1.875" style="95" bestFit="1" customWidth="1"/>
    <col min="11" max="11" width="4.375" style="96" bestFit="1" customWidth="1"/>
    <col min="12" max="12" width="3.375" style="95" bestFit="1" customWidth="1"/>
    <col min="13" max="13" width="7.75390625" style="94" bestFit="1" customWidth="1"/>
    <col min="14" max="14" width="1.625" style="95" bestFit="1" customWidth="1"/>
    <col min="15" max="15" width="8.375" style="94" bestFit="1" customWidth="1"/>
    <col min="16" max="16" width="1.625" style="95" bestFit="1" customWidth="1"/>
    <col min="17" max="17" width="7.75390625" style="94" bestFit="1" customWidth="1"/>
    <col min="18" max="18" width="3.375" style="95" bestFit="1" customWidth="1"/>
    <col min="19" max="19" width="4.375" style="96" bestFit="1" customWidth="1"/>
    <col min="20" max="20" width="1.875" style="95" bestFit="1" customWidth="1"/>
    <col min="21" max="21" width="4.375" style="96" bestFit="1" customWidth="1"/>
    <col min="22" max="22" width="1.875" style="95" bestFit="1" customWidth="1"/>
    <col min="23" max="23" width="7.75390625" style="94" bestFit="1" customWidth="1"/>
    <col min="24" max="24" width="5.75390625" style="95" bestFit="1" customWidth="1"/>
    <col min="25" max="25" width="7.75390625" style="94" bestFit="1" customWidth="1"/>
    <col min="26" max="26" width="1.875" style="95" bestFit="1" customWidth="1"/>
    <col min="27" max="27" width="4.375" style="96" bestFit="1" customWidth="1"/>
    <col min="28" max="28" width="1.875" style="95" bestFit="1" customWidth="1"/>
    <col min="29" max="29" width="4.375" style="96" bestFit="1" customWidth="1"/>
    <col min="30" max="30" width="3.375" style="95" bestFit="1" customWidth="1"/>
    <col min="31" max="31" width="7.75390625" style="94" bestFit="1" customWidth="1"/>
    <col min="32" max="32" width="1.625" style="95" bestFit="1" customWidth="1"/>
    <col min="33" max="33" width="8.375" style="94" bestFit="1" customWidth="1"/>
    <col min="34" max="34" width="1.625" style="95" bestFit="1" customWidth="1"/>
    <col min="35" max="35" width="7.75390625" style="94" bestFit="1" customWidth="1"/>
    <col min="36" max="36" width="3.375" style="95" bestFit="1" customWidth="1"/>
    <col min="37" max="37" width="4.375" style="96" bestFit="1" customWidth="1"/>
    <col min="38" max="38" width="1.875" style="95" bestFit="1" customWidth="1"/>
    <col min="39" max="39" width="4.375" style="96" bestFit="1" customWidth="1"/>
    <col min="40" max="40" width="1.875" style="95" bestFit="1" customWidth="1"/>
    <col min="41" max="41" width="7.75390625" style="94" bestFit="1" customWidth="1"/>
    <col min="42" max="42" width="3.625" style="95" customWidth="1"/>
    <col min="43" max="43" width="10.00390625" style="95" bestFit="1" customWidth="1"/>
    <col min="44" max="44" width="8.625" style="97" bestFit="1" customWidth="1"/>
    <col min="45" max="16384" width="10.75390625" style="93" customWidth="1"/>
  </cols>
  <sheetData>
    <row r="1" spans="1:44" ht="15">
      <c r="A1" s="102" t="s">
        <v>25</v>
      </c>
      <c r="B1" s="103"/>
      <c r="C1" s="103"/>
      <c r="D1" s="103"/>
      <c r="E1" s="103"/>
      <c r="F1" s="103"/>
      <c r="G1" s="104"/>
      <c r="H1" s="105"/>
      <c r="I1" s="106"/>
      <c r="J1" s="105"/>
      <c r="K1" s="106"/>
      <c r="L1" s="105"/>
      <c r="M1" s="104"/>
      <c r="N1" s="105"/>
      <c r="O1" s="104"/>
      <c r="P1" s="105"/>
      <c r="Q1" s="104"/>
      <c r="R1" s="105"/>
      <c r="S1" s="106"/>
      <c r="T1" s="105"/>
      <c r="U1" s="106"/>
      <c r="V1" s="105"/>
      <c r="W1" s="104"/>
      <c r="X1" s="105"/>
      <c r="Y1" s="104"/>
      <c r="Z1" s="105"/>
      <c r="AA1" s="106"/>
      <c r="AB1" s="105"/>
      <c r="AC1" s="106"/>
      <c r="AD1" s="105"/>
      <c r="AE1" s="104"/>
      <c r="AF1" s="105"/>
      <c r="AG1" s="104"/>
      <c r="AH1" s="105"/>
      <c r="AI1" s="104"/>
      <c r="AJ1" s="105"/>
      <c r="AK1" s="106"/>
      <c r="AL1" s="105"/>
      <c r="AM1" s="106"/>
      <c r="AN1" s="105"/>
      <c r="AO1" s="104"/>
      <c r="AP1" s="105"/>
      <c r="AQ1" s="105"/>
      <c r="AR1" s="107"/>
    </row>
    <row r="2" spans="1:44" ht="15">
      <c r="A2" s="103"/>
      <c r="B2" s="103"/>
      <c r="C2" s="103"/>
      <c r="D2" s="103"/>
      <c r="E2" s="103"/>
      <c r="F2" s="103"/>
      <c r="G2" s="104"/>
      <c r="H2" s="105"/>
      <c r="I2" s="106"/>
      <c r="J2" s="105"/>
      <c r="K2" s="106"/>
      <c r="L2" s="105"/>
      <c r="M2" s="104"/>
      <c r="N2" s="105"/>
      <c r="O2" s="104"/>
      <c r="P2" s="105"/>
      <c r="Q2" s="104"/>
      <c r="R2" s="105"/>
      <c r="S2" s="106"/>
      <c r="T2" s="105"/>
      <c r="U2" s="106"/>
      <c r="V2" s="105"/>
      <c r="W2" s="104"/>
      <c r="X2" s="105"/>
      <c r="Y2" s="104"/>
      <c r="Z2" s="105"/>
      <c r="AA2" s="106"/>
      <c r="AB2" s="105"/>
      <c r="AC2" s="106"/>
      <c r="AD2" s="105"/>
      <c r="AE2" s="104"/>
      <c r="AF2" s="105"/>
      <c r="AG2" s="104"/>
      <c r="AH2" s="105"/>
      <c r="AI2" s="104"/>
      <c r="AJ2" s="105"/>
      <c r="AK2" s="106"/>
      <c r="AL2" s="105"/>
      <c r="AM2" s="106"/>
      <c r="AN2" s="105"/>
      <c r="AO2" s="104"/>
      <c r="AP2" s="105"/>
      <c r="AQ2" s="105"/>
      <c r="AR2" s="107"/>
    </row>
    <row r="3" spans="2:44" ht="15">
      <c r="B3" s="103" t="s">
        <v>26</v>
      </c>
      <c r="C3" s="103"/>
      <c r="D3" s="103"/>
      <c r="E3" s="103"/>
      <c r="F3" s="103"/>
      <c r="G3" s="104"/>
      <c r="H3" s="105"/>
      <c r="I3" s="106"/>
      <c r="J3" s="105"/>
      <c r="K3" s="106"/>
      <c r="L3" s="105"/>
      <c r="M3" s="104"/>
      <c r="N3" s="105"/>
      <c r="O3" s="104"/>
      <c r="P3" s="105"/>
      <c r="Q3" s="104"/>
      <c r="R3" s="105"/>
      <c r="S3" s="106"/>
      <c r="T3" s="105"/>
      <c r="U3" s="106"/>
      <c r="V3" s="105"/>
      <c r="W3" s="104"/>
      <c r="X3" s="105"/>
      <c r="Y3" s="104"/>
      <c r="Z3" s="105"/>
      <c r="AA3" s="106"/>
      <c r="AB3" s="105"/>
      <c r="AC3" s="106"/>
      <c r="AD3" s="105"/>
      <c r="AE3" s="104"/>
      <c r="AF3" s="105"/>
      <c r="AG3" s="104"/>
      <c r="AH3" s="105"/>
      <c r="AI3" s="104"/>
      <c r="AJ3" s="105"/>
      <c r="AK3" s="106"/>
      <c r="AL3" s="105"/>
      <c r="AM3" s="106"/>
      <c r="AN3" s="105"/>
      <c r="AO3" s="104"/>
      <c r="AP3" s="105"/>
      <c r="AQ3" s="105"/>
      <c r="AR3" s="107"/>
    </row>
    <row r="4" spans="2:44" ht="15">
      <c r="B4" s="103" t="s">
        <v>43</v>
      </c>
      <c r="C4" s="103"/>
      <c r="D4" s="103"/>
      <c r="E4" s="103"/>
      <c r="F4" s="103"/>
      <c r="G4" s="104"/>
      <c r="H4" s="105"/>
      <c r="I4" s="106"/>
      <c r="J4" s="105"/>
      <c r="K4" s="106"/>
      <c r="L4" s="105"/>
      <c r="M4" s="104"/>
      <c r="N4" s="105"/>
      <c r="O4" s="104"/>
      <c r="P4" s="105"/>
      <c r="Q4" s="104"/>
      <c r="R4" s="105"/>
      <c r="S4" s="106"/>
      <c r="T4" s="105"/>
      <c r="U4" s="106"/>
      <c r="V4" s="105"/>
      <c r="W4" s="104"/>
      <c r="X4" s="105"/>
      <c r="Y4" s="104"/>
      <c r="Z4" s="105"/>
      <c r="AA4" s="106"/>
      <c r="AB4" s="105"/>
      <c r="AC4" s="106"/>
      <c r="AD4" s="105"/>
      <c r="AE4" s="104"/>
      <c r="AF4" s="105"/>
      <c r="AG4" s="104"/>
      <c r="AH4" s="105"/>
      <c r="AI4" s="104"/>
      <c r="AJ4" s="105"/>
      <c r="AK4" s="106"/>
      <c r="AL4" s="105"/>
      <c r="AM4" s="106"/>
      <c r="AN4" s="105"/>
      <c r="AO4" s="104"/>
      <c r="AP4" s="105"/>
      <c r="AQ4" s="105"/>
      <c r="AR4" s="107"/>
    </row>
    <row r="5" spans="2:44" ht="15">
      <c r="B5" s="103" t="s">
        <v>44</v>
      </c>
      <c r="C5" s="103"/>
      <c r="D5" s="103"/>
      <c r="E5" s="103"/>
      <c r="F5" s="103"/>
      <c r="G5" s="104"/>
      <c r="H5" s="105"/>
      <c r="I5" s="106"/>
      <c r="J5" s="105"/>
      <c r="K5" s="106"/>
      <c r="L5" s="105"/>
      <c r="M5" s="104"/>
      <c r="N5" s="105"/>
      <c r="O5" s="104"/>
      <c r="P5" s="105"/>
      <c r="Q5" s="104"/>
      <c r="R5" s="105"/>
      <c r="S5" s="106"/>
      <c r="T5" s="105"/>
      <c r="U5" s="106"/>
      <c r="V5" s="105"/>
      <c r="W5" s="104"/>
      <c r="X5" s="105"/>
      <c r="Y5" s="104"/>
      <c r="Z5" s="105"/>
      <c r="AA5" s="106"/>
      <c r="AB5" s="105"/>
      <c r="AC5" s="106"/>
      <c r="AD5" s="105"/>
      <c r="AE5" s="104"/>
      <c r="AF5" s="105"/>
      <c r="AG5" s="104"/>
      <c r="AH5" s="105"/>
      <c r="AI5" s="104"/>
      <c r="AJ5" s="105"/>
      <c r="AK5" s="106"/>
      <c r="AL5" s="105"/>
      <c r="AM5" s="106"/>
      <c r="AN5" s="105"/>
      <c r="AO5" s="104"/>
      <c r="AP5" s="105"/>
      <c r="AQ5" s="105"/>
      <c r="AR5" s="107"/>
    </row>
    <row r="6" spans="2:44" ht="15">
      <c r="B6" s="103" t="s">
        <v>45</v>
      </c>
      <c r="C6" s="103"/>
      <c r="D6" s="103"/>
      <c r="E6" s="103"/>
      <c r="F6" s="103"/>
      <c r="G6" s="104"/>
      <c r="H6" s="105"/>
      <c r="I6" s="106"/>
      <c r="J6" s="105"/>
      <c r="K6" s="106"/>
      <c r="L6" s="105"/>
      <c r="M6" s="104"/>
      <c r="N6" s="105"/>
      <c r="O6" s="104"/>
      <c r="P6" s="105"/>
      <c r="Q6" s="104"/>
      <c r="R6" s="105"/>
      <c r="S6" s="106"/>
      <c r="T6" s="105"/>
      <c r="U6" s="106"/>
      <c r="V6" s="105"/>
      <c r="W6" s="104"/>
      <c r="X6" s="105"/>
      <c r="Y6" s="104"/>
      <c r="Z6" s="105"/>
      <c r="AA6" s="106"/>
      <c r="AB6" s="105"/>
      <c r="AC6" s="106"/>
      <c r="AD6" s="105"/>
      <c r="AE6" s="104"/>
      <c r="AF6" s="105"/>
      <c r="AG6" s="104"/>
      <c r="AH6" s="105"/>
      <c r="AI6" s="104"/>
      <c r="AJ6" s="105"/>
      <c r="AK6" s="106"/>
      <c r="AL6" s="105"/>
      <c r="AM6" s="106"/>
      <c r="AN6" s="105"/>
      <c r="AO6" s="104"/>
      <c r="AP6" s="105"/>
      <c r="AQ6" s="105"/>
      <c r="AR6" s="107"/>
    </row>
    <row r="7" spans="1:44" ht="15">
      <c r="A7" s="103"/>
      <c r="B7" s="103"/>
      <c r="C7" s="103"/>
      <c r="D7" s="103"/>
      <c r="E7" s="103"/>
      <c r="F7" s="103"/>
      <c r="G7" s="104"/>
      <c r="H7" s="105"/>
      <c r="I7" s="106"/>
      <c r="J7" s="105"/>
      <c r="K7" s="106"/>
      <c r="L7" s="105"/>
      <c r="M7" s="104"/>
      <c r="N7" s="105"/>
      <c r="O7" s="104"/>
      <c r="P7" s="105"/>
      <c r="Q7" s="104"/>
      <c r="R7" s="105"/>
      <c r="S7" s="106"/>
      <c r="T7" s="105"/>
      <c r="U7" s="106"/>
      <c r="V7" s="105"/>
      <c r="W7" s="104"/>
      <c r="X7" s="105"/>
      <c r="Y7" s="104"/>
      <c r="Z7" s="105"/>
      <c r="AA7" s="106"/>
      <c r="AB7" s="105"/>
      <c r="AC7" s="106"/>
      <c r="AD7" s="105"/>
      <c r="AE7" s="104"/>
      <c r="AF7" s="105"/>
      <c r="AG7" s="104"/>
      <c r="AH7" s="105"/>
      <c r="AI7" s="104"/>
      <c r="AJ7" s="105"/>
      <c r="AK7" s="106"/>
      <c r="AL7" s="105"/>
      <c r="AM7" s="106"/>
      <c r="AN7" s="105"/>
      <c r="AO7" s="104"/>
      <c r="AP7" s="105"/>
      <c r="AQ7" s="105"/>
      <c r="AR7" s="107"/>
    </row>
    <row r="8" spans="1:44" ht="18.75" thickBot="1">
      <c r="A8" s="103"/>
      <c r="C8" s="224" t="s">
        <v>19</v>
      </c>
      <c r="D8" s="224"/>
      <c r="E8" s="224"/>
      <c r="F8" s="224"/>
      <c r="G8" s="104"/>
      <c r="H8" s="105"/>
      <c r="I8" s="106"/>
      <c r="J8" s="105"/>
      <c r="K8" s="106"/>
      <c r="L8" s="105"/>
      <c r="M8" s="104"/>
      <c r="N8" s="105"/>
      <c r="O8" s="104"/>
      <c r="P8" s="105"/>
      <c r="Q8" s="104"/>
      <c r="R8" s="105"/>
      <c r="S8" s="106"/>
      <c r="T8" s="105"/>
      <c r="U8" s="106"/>
      <c r="V8" s="105"/>
      <c r="W8" s="104"/>
      <c r="X8" s="105"/>
      <c r="Y8" s="104"/>
      <c r="Z8" s="105"/>
      <c r="AA8" s="106"/>
      <c r="AB8" s="105"/>
      <c r="AC8" s="106"/>
      <c r="AD8" s="105"/>
      <c r="AE8" s="104"/>
      <c r="AF8" s="105"/>
      <c r="AG8" s="104"/>
      <c r="AH8" s="105"/>
      <c r="AI8" s="104"/>
      <c r="AJ8" s="105"/>
      <c r="AK8" s="106"/>
      <c r="AL8" s="105"/>
      <c r="AM8" s="106"/>
      <c r="AN8" s="105"/>
      <c r="AO8" s="104"/>
      <c r="AP8" s="105"/>
      <c r="AQ8" s="105"/>
      <c r="AR8" s="107"/>
    </row>
    <row r="9" spans="1:44" s="98" customFormat="1" ht="18">
      <c r="A9" s="108"/>
      <c r="C9" s="163"/>
      <c r="D9" s="164" t="s">
        <v>60</v>
      </c>
      <c r="E9" s="165" t="s">
        <v>61</v>
      </c>
      <c r="F9" s="166" t="s">
        <v>2</v>
      </c>
      <c r="G9" s="111"/>
      <c r="H9" s="109"/>
      <c r="I9" s="112"/>
      <c r="J9" s="109"/>
      <c r="K9" s="112"/>
      <c r="L9" s="109"/>
      <c r="M9" s="111"/>
      <c r="N9" s="109"/>
      <c r="O9" s="111"/>
      <c r="P9" s="109"/>
      <c r="Q9" s="111"/>
      <c r="R9" s="109"/>
      <c r="S9" s="112"/>
      <c r="T9" s="109"/>
      <c r="U9" s="112"/>
      <c r="V9" s="109"/>
      <c r="W9" s="111"/>
      <c r="X9" s="109"/>
      <c r="Y9" s="111"/>
      <c r="Z9" s="109"/>
      <c r="AA9" s="112"/>
      <c r="AB9" s="109"/>
      <c r="AC9" s="112"/>
      <c r="AD9" s="109"/>
      <c r="AE9" s="111"/>
      <c r="AF9" s="109"/>
      <c r="AG9" s="111"/>
      <c r="AH9" s="109"/>
      <c r="AI9" s="111"/>
      <c r="AJ9" s="109"/>
      <c r="AK9" s="112"/>
      <c r="AL9" s="109"/>
      <c r="AM9" s="112"/>
      <c r="AN9" s="109"/>
      <c r="AO9" s="111"/>
      <c r="AP9" s="109"/>
      <c r="AQ9" s="113"/>
      <c r="AR9" s="114"/>
    </row>
    <row r="10" spans="1:44" s="98" customFormat="1" ht="18">
      <c r="A10" s="108"/>
      <c r="C10" s="167" t="s">
        <v>0</v>
      </c>
      <c r="D10" s="168">
        <v>0.3</v>
      </c>
      <c r="E10" s="169">
        <f>1-D10</f>
        <v>0.7</v>
      </c>
      <c r="F10" s="170"/>
      <c r="G10" s="111"/>
      <c r="H10" s="109"/>
      <c r="I10" s="112"/>
      <c r="J10" s="109"/>
      <c r="K10" s="112"/>
      <c r="L10" s="109"/>
      <c r="M10" s="111"/>
      <c r="N10" s="109"/>
      <c r="O10" s="111"/>
      <c r="P10" s="109"/>
      <c r="Q10" s="111"/>
      <c r="R10" s="109"/>
      <c r="S10" s="112"/>
      <c r="T10" s="109"/>
      <c r="U10" s="112"/>
      <c r="V10" s="109"/>
      <c r="W10" s="111"/>
      <c r="X10" s="109"/>
      <c r="Y10" s="111"/>
      <c r="Z10" s="109"/>
      <c r="AA10" s="112"/>
      <c r="AB10" s="109"/>
      <c r="AC10" s="112"/>
      <c r="AD10" s="109"/>
      <c r="AE10" s="111"/>
      <c r="AF10" s="109"/>
      <c r="AG10" s="111"/>
      <c r="AH10" s="109"/>
      <c r="AI10" s="111"/>
      <c r="AJ10" s="109"/>
      <c r="AK10" s="112"/>
      <c r="AL10" s="109"/>
      <c r="AM10" s="112"/>
      <c r="AN10" s="109"/>
      <c r="AO10" s="111"/>
      <c r="AP10" s="109"/>
      <c r="AQ10" s="113"/>
      <c r="AR10" s="114"/>
    </row>
    <row r="11" spans="1:47" s="98" customFormat="1" ht="18">
      <c r="A11" s="115"/>
      <c r="C11" s="167" t="s">
        <v>60</v>
      </c>
      <c r="D11" s="168">
        <v>0.9</v>
      </c>
      <c r="E11" s="169">
        <f>1-D11</f>
        <v>0.09999999999999998</v>
      </c>
      <c r="F11" s="171">
        <v>0.5</v>
      </c>
      <c r="G11" s="116"/>
      <c r="H11" s="117"/>
      <c r="I11" s="118"/>
      <c r="J11" s="117"/>
      <c r="K11" s="118"/>
      <c r="L11" s="117"/>
      <c r="M11" s="116"/>
      <c r="N11" s="117"/>
      <c r="O11" s="116"/>
      <c r="P11" s="117"/>
      <c r="Q11" s="116"/>
      <c r="R11" s="117"/>
      <c r="S11" s="118"/>
      <c r="T11" s="117"/>
      <c r="U11" s="118"/>
      <c r="V11" s="117"/>
      <c r="W11" s="116"/>
      <c r="X11" s="117"/>
      <c r="Y11" s="116"/>
      <c r="Z11" s="117"/>
      <c r="AA11" s="118"/>
      <c r="AB11" s="117"/>
      <c r="AC11" s="118"/>
      <c r="AD11" s="117"/>
      <c r="AE11" s="116"/>
      <c r="AF11" s="117"/>
      <c r="AG11" s="116"/>
      <c r="AH11" s="117"/>
      <c r="AI11" s="116"/>
      <c r="AJ11" s="117"/>
      <c r="AK11" s="118"/>
      <c r="AL11" s="117"/>
      <c r="AM11" s="118"/>
      <c r="AN11" s="117"/>
      <c r="AO11" s="116"/>
      <c r="AP11" s="117"/>
      <c r="AQ11" s="119"/>
      <c r="AR11" s="120"/>
      <c r="AS11" s="99"/>
      <c r="AT11" s="99"/>
      <c r="AU11" s="99"/>
    </row>
    <row r="12" spans="1:47" s="98" customFormat="1" ht="18.75" thickBot="1">
      <c r="A12" s="115"/>
      <c r="C12" s="172" t="s">
        <v>61</v>
      </c>
      <c r="D12" s="173">
        <v>0.05</v>
      </c>
      <c r="E12" s="174">
        <f>1-D12</f>
        <v>0.95</v>
      </c>
      <c r="F12" s="175">
        <f>1/6</f>
        <v>0.16666666666666666</v>
      </c>
      <c r="G12" s="116"/>
      <c r="H12" s="117"/>
      <c r="I12" s="118"/>
      <c r="J12" s="117"/>
      <c r="K12" s="118"/>
      <c r="L12" s="117"/>
      <c r="M12" s="116"/>
      <c r="N12" s="117"/>
      <c r="O12" s="116"/>
      <c r="P12" s="117"/>
      <c r="Q12" s="116"/>
      <c r="R12" s="117"/>
      <c r="S12" s="118"/>
      <c r="T12" s="117"/>
      <c r="U12" s="118"/>
      <c r="V12" s="117"/>
      <c r="W12" s="116"/>
      <c r="X12" s="117"/>
      <c r="Y12" s="116"/>
      <c r="Z12" s="117"/>
      <c r="AA12" s="118"/>
      <c r="AB12" s="117"/>
      <c r="AC12" s="118"/>
      <c r="AD12" s="117"/>
      <c r="AE12" s="116"/>
      <c r="AF12" s="117"/>
      <c r="AG12" s="116"/>
      <c r="AH12" s="117"/>
      <c r="AI12" s="116"/>
      <c r="AJ12" s="117"/>
      <c r="AK12" s="118"/>
      <c r="AL12" s="117"/>
      <c r="AM12" s="118"/>
      <c r="AN12" s="117"/>
      <c r="AO12" s="116"/>
      <c r="AP12" s="117"/>
      <c r="AQ12" s="119"/>
      <c r="AR12" s="120"/>
      <c r="AS12" s="99"/>
      <c r="AT12" s="99"/>
      <c r="AU12" s="99"/>
    </row>
    <row r="13" spans="1:47" s="98" customFormat="1" ht="24.75">
      <c r="A13" s="115"/>
      <c r="B13" s="115"/>
      <c r="C13" s="115"/>
      <c r="D13" s="115"/>
      <c r="F13" s="115"/>
      <c r="G13" s="116"/>
      <c r="H13" s="117"/>
      <c r="I13" s="118"/>
      <c r="J13" s="117"/>
      <c r="K13" s="118"/>
      <c r="L13" s="117"/>
      <c r="M13" s="116"/>
      <c r="N13" s="117"/>
      <c r="O13" s="90" t="s">
        <v>4</v>
      </c>
      <c r="P13" s="91"/>
      <c r="Q13" s="90"/>
      <c r="R13" s="91"/>
      <c r="S13" s="92"/>
      <c r="T13" s="91"/>
      <c r="U13" s="92"/>
      <c r="V13" s="91"/>
      <c r="W13" s="221" t="s">
        <v>52</v>
      </c>
      <c r="X13" s="222"/>
      <c r="Y13" s="223"/>
      <c r="Z13" s="91"/>
      <c r="AA13" s="92"/>
      <c r="AB13" s="91"/>
      <c r="AC13" s="92"/>
      <c r="AD13" s="91"/>
      <c r="AE13" s="90"/>
      <c r="AF13" s="91"/>
      <c r="AG13" s="90" t="s">
        <v>3</v>
      </c>
      <c r="AH13" s="122"/>
      <c r="AI13" s="121"/>
      <c r="AJ13" s="122"/>
      <c r="AK13" s="123"/>
      <c r="AL13" s="122"/>
      <c r="AM13" s="123"/>
      <c r="AN13" s="117"/>
      <c r="AO13" s="111"/>
      <c r="AP13" s="117"/>
      <c r="AQ13" s="119" t="s">
        <v>24</v>
      </c>
      <c r="AR13" s="120" t="s">
        <v>23</v>
      </c>
      <c r="AS13" s="99"/>
      <c r="AT13" s="99"/>
      <c r="AU13" s="99"/>
    </row>
    <row r="14" spans="1:47" s="98" customFormat="1" ht="15">
      <c r="A14" s="115"/>
      <c r="B14" s="115"/>
      <c r="F14" s="115"/>
      <c r="G14" s="116"/>
      <c r="H14" s="117"/>
      <c r="I14" s="118"/>
      <c r="J14" s="117"/>
      <c r="K14" s="118"/>
      <c r="L14" s="117"/>
      <c r="M14" s="116"/>
      <c r="N14" s="117"/>
      <c r="O14" s="116"/>
      <c r="P14" s="117"/>
      <c r="Q14" s="116"/>
      <c r="R14" s="117"/>
      <c r="S14" s="118"/>
      <c r="T14" s="117"/>
      <c r="U14" s="118"/>
      <c r="V14" s="117"/>
      <c r="W14" s="116"/>
      <c r="X14" s="117"/>
      <c r="Y14" s="116"/>
      <c r="Z14" s="117"/>
      <c r="AA14" s="118"/>
      <c r="AB14" s="117"/>
      <c r="AC14" s="118"/>
      <c r="AD14" s="117"/>
      <c r="AE14" s="116"/>
      <c r="AF14" s="117"/>
      <c r="AG14" s="116"/>
      <c r="AH14" s="117"/>
      <c r="AI14" s="116"/>
      <c r="AJ14" s="117"/>
      <c r="AK14" s="118"/>
      <c r="AL14" s="117"/>
      <c r="AM14" s="118"/>
      <c r="AN14" s="117"/>
      <c r="AO14" s="116"/>
      <c r="AP14" s="117"/>
      <c r="AQ14" s="119"/>
      <c r="AR14" s="120"/>
      <c r="AS14" s="99"/>
      <c r="AT14" s="99"/>
      <c r="AU14" s="99"/>
    </row>
    <row r="15" spans="1:47" s="101" customFormat="1" ht="27" customHeight="1">
      <c r="A15" s="124"/>
      <c r="B15" s="124"/>
      <c r="C15" s="115"/>
      <c r="D15" s="161" t="s">
        <v>50</v>
      </c>
      <c r="E15" s="219" t="s">
        <v>51</v>
      </c>
      <c r="F15" s="220"/>
      <c r="G15" s="220"/>
      <c r="H15" s="220"/>
      <c r="I15" s="220"/>
      <c r="J15" s="162"/>
      <c r="K15" s="118"/>
      <c r="L15" s="118"/>
      <c r="M15" s="118"/>
      <c r="N15" s="129" t="s">
        <v>48</v>
      </c>
      <c r="O15" s="131">
        <f>D10</f>
        <v>0.3</v>
      </c>
      <c r="P15" s="129" t="s">
        <v>48</v>
      </c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29" t="s">
        <v>48</v>
      </c>
      <c r="AG15" s="130">
        <f>E10</f>
        <v>0.7</v>
      </c>
      <c r="AH15" s="129" t="s">
        <v>49</v>
      </c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00"/>
      <c r="AT15" s="100"/>
      <c r="AU15" s="100"/>
    </row>
    <row r="16" spans="1:47" s="98" customFormat="1" ht="27" customHeight="1" thickBot="1">
      <c r="A16" s="115"/>
      <c r="B16" s="115"/>
      <c r="C16" s="115"/>
      <c r="D16" s="115"/>
      <c r="E16" s="110"/>
      <c r="F16" s="115"/>
      <c r="G16" s="111"/>
      <c r="H16" s="109"/>
      <c r="I16" s="112"/>
      <c r="J16" s="109"/>
      <c r="K16" s="112"/>
      <c r="L16" s="109"/>
      <c r="M16" s="111"/>
      <c r="N16" s="109"/>
      <c r="O16" s="132"/>
      <c r="P16" s="109"/>
      <c r="Q16" s="111"/>
      <c r="R16" s="109"/>
      <c r="S16" s="112"/>
      <c r="T16" s="109"/>
      <c r="U16" s="112"/>
      <c r="V16" s="109"/>
      <c r="W16" s="111"/>
      <c r="X16" s="117"/>
      <c r="Y16" s="116"/>
      <c r="Z16" s="117"/>
      <c r="AA16" s="118"/>
      <c r="AB16" s="117"/>
      <c r="AC16" s="118"/>
      <c r="AD16" s="117"/>
      <c r="AE16" s="116"/>
      <c r="AF16" s="117"/>
      <c r="AG16" s="125"/>
      <c r="AH16" s="126"/>
      <c r="AI16" s="125"/>
      <c r="AJ16" s="126"/>
      <c r="AK16" s="127"/>
      <c r="AL16" s="126"/>
      <c r="AM16" s="127"/>
      <c r="AN16" s="117"/>
      <c r="AO16" s="111"/>
      <c r="AP16" s="117"/>
      <c r="AQ16" s="119"/>
      <c r="AR16" s="120"/>
      <c r="AS16" s="99"/>
      <c r="AT16" s="99"/>
      <c r="AU16" s="99"/>
    </row>
    <row r="17" spans="1:46" s="155" customFormat="1" ht="27" customHeight="1" thickBot="1">
      <c r="A17" s="133"/>
      <c r="B17" s="133"/>
      <c r="C17" s="133"/>
      <c r="D17" s="128">
        <v>1</v>
      </c>
      <c r="E17" s="159">
        <f>MID($E$15,D17,1)+0</f>
        <v>1</v>
      </c>
      <c r="F17" s="133"/>
      <c r="G17" s="134">
        <f>O15</f>
        <v>0.3</v>
      </c>
      <c r="H17" s="135"/>
      <c r="I17" s="136"/>
      <c r="J17" s="137" t="s">
        <v>58</v>
      </c>
      <c r="K17" s="138">
        <f>IF($E17=6,$F$11,(1-$F$11)/5)</f>
        <v>0.1</v>
      </c>
      <c r="L17" s="139" t="s">
        <v>46</v>
      </c>
      <c r="M17" s="140"/>
      <c r="N17" s="135"/>
      <c r="O17" s="141">
        <f>G17*K17</f>
        <v>0.03</v>
      </c>
      <c r="P17" s="142"/>
      <c r="Q17" s="143"/>
      <c r="R17" s="142"/>
      <c r="S17" s="144"/>
      <c r="T17" s="142"/>
      <c r="U17" s="144"/>
      <c r="V17" s="135"/>
      <c r="W17" s="145"/>
      <c r="X17" s="146"/>
      <c r="Y17" s="147"/>
      <c r="Z17" s="148"/>
      <c r="AA17" s="138"/>
      <c r="AB17" s="148"/>
      <c r="AC17" s="138"/>
      <c r="AD17" s="148"/>
      <c r="AE17" s="149"/>
      <c r="AF17" s="135"/>
      <c r="AG17" s="141">
        <f>AO17*AK17</f>
        <v>0.11666666666666667</v>
      </c>
      <c r="AH17" s="142"/>
      <c r="AI17" s="150"/>
      <c r="AJ17" s="139" t="s">
        <v>47</v>
      </c>
      <c r="AK17" s="136">
        <f>IF($E17=6,$F$12,(1-$F$12)/5)</f>
        <v>0.16666666666666669</v>
      </c>
      <c r="AL17" s="137" t="s">
        <v>58</v>
      </c>
      <c r="AM17" s="144"/>
      <c r="AN17" s="137"/>
      <c r="AO17" s="151">
        <f>AG15</f>
        <v>0.7</v>
      </c>
      <c r="AP17" s="122"/>
      <c r="AQ17" s="152" t="b">
        <f>IF(ISBLANK(AQ19),O17&gt;AG17,IF(AQ19,M19=O19,AG19=AE19))</f>
        <v>0</v>
      </c>
      <c r="AR17" s="153">
        <f>AG17/O17</f>
        <v>3.8888888888888893</v>
      </c>
      <c r="AS17" s="154"/>
      <c r="AT17" s="154"/>
    </row>
    <row r="18" spans="1:44" s="155" customFormat="1" ht="27" customHeight="1" thickBot="1">
      <c r="A18" s="156"/>
      <c r="B18" s="156"/>
      <c r="C18" s="156"/>
      <c r="D18" s="108"/>
      <c r="E18" s="160"/>
      <c r="F18" s="156"/>
      <c r="G18" s="156"/>
      <c r="H18" s="156"/>
      <c r="I18" s="156"/>
      <c r="J18" s="156"/>
      <c r="K18" s="156"/>
      <c r="L18" s="156"/>
      <c r="M18" s="156"/>
      <c r="N18" s="156"/>
      <c r="O18" s="157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7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s="155" customFormat="1" ht="27" customHeight="1" thickBot="1">
      <c r="A19" s="156"/>
      <c r="B19" s="156"/>
      <c r="C19" s="156"/>
      <c r="D19" s="108">
        <f>D17+1</f>
        <v>2</v>
      </c>
      <c r="E19" s="159">
        <f>MID($E$15,D19,1)+0</f>
        <v>1</v>
      </c>
      <c r="F19" s="133"/>
      <c r="G19" s="134">
        <f>O17</f>
        <v>0.03</v>
      </c>
      <c r="H19" s="135" t="s">
        <v>58</v>
      </c>
      <c r="I19" s="136">
        <f>$D$11</f>
        <v>0.9</v>
      </c>
      <c r="J19" s="137" t="s">
        <v>58</v>
      </c>
      <c r="K19" s="138">
        <f>IF($E19=6,$F$11,(1-$F$11)/5)</f>
        <v>0.1</v>
      </c>
      <c r="L19" s="139" t="s">
        <v>46</v>
      </c>
      <c r="M19" s="140">
        <f>G19*I19*K19</f>
        <v>0.0027</v>
      </c>
      <c r="N19" s="135"/>
      <c r="O19" s="141">
        <f>MAX(M19,Q19)</f>
        <v>0.0027</v>
      </c>
      <c r="P19" s="142"/>
      <c r="Q19" s="143">
        <f>W19*U19*S19</f>
        <v>0.0005833333333333334</v>
      </c>
      <c r="R19" s="142" t="s">
        <v>47</v>
      </c>
      <c r="S19" s="144">
        <f>IF($E19=6,$F$11,(1-$F$11)/5)</f>
        <v>0.1</v>
      </c>
      <c r="T19" s="142" t="s">
        <v>58</v>
      </c>
      <c r="U19" s="144">
        <f>$D$12</f>
        <v>0.05</v>
      </c>
      <c r="V19" s="135" t="s">
        <v>58</v>
      </c>
      <c r="W19" s="145">
        <f>AG17</f>
        <v>0.11666666666666667</v>
      </c>
      <c r="X19" s="122"/>
      <c r="Y19" s="147">
        <f>O17</f>
        <v>0.03</v>
      </c>
      <c r="Z19" s="148" t="s">
        <v>58</v>
      </c>
      <c r="AA19" s="138">
        <f>$E$11</f>
        <v>0.09999999999999998</v>
      </c>
      <c r="AB19" s="148" t="s">
        <v>58</v>
      </c>
      <c r="AC19" s="138">
        <f>IF($E19=6,$F$12,(1-$F$12)/5)</f>
        <v>0.16666666666666669</v>
      </c>
      <c r="AD19" s="148" t="s">
        <v>46</v>
      </c>
      <c r="AE19" s="149">
        <f>Y19*AA19*AC19</f>
        <v>0.0004999999999999999</v>
      </c>
      <c r="AF19" s="135"/>
      <c r="AG19" s="141">
        <f>MAX(AE19,AI19)</f>
        <v>0.018472222222222223</v>
      </c>
      <c r="AH19" s="142"/>
      <c r="AI19" s="150">
        <f>AO19*AM19*AK19</f>
        <v>0.018472222222222223</v>
      </c>
      <c r="AJ19" s="139" t="s">
        <v>47</v>
      </c>
      <c r="AK19" s="136">
        <f>IF($E19=6,$F$12,(1-$F$12)/5)</f>
        <v>0.16666666666666669</v>
      </c>
      <c r="AL19" s="137" t="s">
        <v>58</v>
      </c>
      <c r="AM19" s="144">
        <f>$E$12</f>
        <v>0.95</v>
      </c>
      <c r="AN19" s="137" t="s">
        <v>58</v>
      </c>
      <c r="AO19" s="151">
        <f>AG17</f>
        <v>0.11666666666666667</v>
      </c>
      <c r="AP19" s="158"/>
      <c r="AQ19" s="152" t="b">
        <f>IF(ISBLANK(AQ21),O19&gt;AG19,IF(AQ21,M21=O21,AG21=AE21))</f>
        <v>0</v>
      </c>
      <c r="AR19" s="153">
        <f>AG19/O19</f>
        <v>6.841563786008231</v>
      </c>
    </row>
    <row r="20" spans="1:44" s="155" customFormat="1" ht="27" customHeight="1" thickBot="1">
      <c r="A20" s="156"/>
      <c r="B20" s="156"/>
      <c r="C20" s="156"/>
      <c r="D20" s="108"/>
      <c r="E20" s="160"/>
      <c r="F20" s="156"/>
      <c r="G20" s="156"/>
      <c r="H20" s="156"/>
      <c r="I20" s="156"/>
      <c r="J20" s="156"/>
      <c r="K20" s="156"/>
      <c r="L20" s="156"/>
      <c r="M20" s="156"/>
      <c r="N20" s="156"/>
      <c r="O20" s="157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7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</row>
    <row r="21" spans="1:44" s="155" customFormat="1" ht="27" customHeight="1" thickBot="1">
      <c r="A21" s="156"/>
      <c r="B21" s="156"/>
      <c r="C21" s="156"/>
      <c r="D21" s="108">
        <f>D19+1</f>
        <v>3</v>
      </c>
      <c r="E21" s="159">
        <f>MID($E$15,D21,1)+0</f>
        <v>1</v>
      </c>
      <c r="F21" s="156"/>
      <c r="G21" s="134">
        <f>O19</f>
        <v>0.0027</v>
      </c>
      <c r="H21" s="135" t="s">
        <v>58</v>
      </c>
      <c r="I21" s="136">
        <f>$D$11</f>
        <v>0.9</v>
      </c>
      <c r="J21" s="137" t="s">
        <v>58</v>
      </c>
      <c r="K21" s="138">
        <f>IF($E21=6,$F$11,(1-$F$11)/5)</f>
        <v>0.1</v>
      </c>
      <c r="L21" s="139" t="s">
        <v>46</v>
      </c>
      <c r="M21" s="140">
        <f>G21*I21*K21</f>
        <v>0.00024300000000000005</v>
      </c>
      <c r="N21" s="135"/>
      <c r="O21" s="141">
        <f>MAX(M21,Q21)</f>
        <v>0.00024300000000000005</v>
      </c>
      <c r="P21" s="142"/>
      <c r="Q21" s="143">
        <f>W21*U21*S21</f>
        <v>9.236111111111112E-05</v>
      </c>
      <c r="R21" s="142" t="s">
        <v>47</v>
      </c>
      <c r="S21" s="144">
        <f>IF($E21=6,$F$11,(1-$F$11)/5)</f>
        <v>0.1</v>
      </c>
      <c r="T21" s="142" t="s">
        <v>58</v>
      </c>
      <c r="U21" s="144">
        <f>$D$12</f>
        <v>0.05</v>
      </c>
      <c r="V21" s="135" t="s">
        <v>58</v>
      </c>
      <c r="W21" s="145">
        <f>AG19</f>
        <v>0.018472222222222223</v>
      </c>
      <c r="X21" s="122"/>
      <c r="Y21" s="147">
        <f>O19</f>
        <v>0.0027</v>
      </c>
      <c r="Z21" s="148" t="s">
        <v>58</v>
      </c>
      <c r="AA21" s="138">
        <f>$E$11</f>
        <v>0.09999999999999998</v>
      </c>
      <c r="AB21" s="148" t="s">
        <v>58</v>
      </c>
      <c r="AC21" s="138">
        <f>IF($E21=6,$F$12,(1-$F$12)/5)</f>
        <v>0.16666666666666669</v>
      </c>
      <c r="AD21" s="148" t="s">
        <v>46</v>
      </c>
      <c r="AE21" s="149">
        <f>Y21*AA21*AC21</f>
        <v>4.4999999999999996E-05</v>
      </c>
      <c r="AF21" s="135"/>
      <c r="AG21" s="141">
        <f>MAX(AE21,AI21)</f>
        <v>0.002924768518518519</v>
      </c>
      <c r="AH21" s="142"/>
      <c r="AI21" s="150">
        <f>AO21*AM21*AK21</f>
        <v>0.002924768518518519</v>
      </c>
      <c r="AJ21" s="139" t="s">
        <v>47</v>
      </c>
      <c r="AK21" s="136">
        <f>IF($E21=6,$F$12,(1-$F$12)/5)</f>
        <v>0.16666666666666669</v>
      </c>
      <c r="AL21" s="137" t="s">
        <v>58</v>
      </c>
      <c r="AM21" s="144">
        <f>$E$12</f>
        <v>0.95</v>
      </c>
      <c r="AN21" s="137" t="s">
        <v>58</v>
      </c>
      <c r="AO21" s="151">
        <f>AG19</f>
        <v>0.018472222222222223</v>
      </c>
      <c r="AP21" s="158"/>
      <c r="AQ21" s="152" t="b">
        <f>IF(ISBLANK(AQ23),O21&gt;AG21,IF(AQ23,M23=O23,AG23=AE23))</f>
        <v>0</v>
      </c>
      <c r="AR21" s="153">
        <f>AG21/O21</f>
        <v>12.036084438347812</v>
      </c>
    </row>
    <row r="22" spans="1:44" s="155" customFormat="1" ht="27" customHeight="1" thickBot="1">
      <c r="A22" s="156"/>
      <c r="B22" s="156"/>
      <c r="C22" s="156"/>
      <c r="D22" s="108"/>
      <c r="E22" s="160"/>
      <c r="F22" s="156"/>
      <c r="G22" s="156"/>
      <c r="H22" s="156"/>
      <c r="I22" s="156"/>
      <c r="J22" s="156"/>
      <c r="K22" s="156"/>
      <c r="L22" s="156"/>
      <c r="M22" s="156"/>
      <c r="N22" s="156"/>
      <c r="O22" s="157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7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</row>
    <row r="23" spans="1:44" s="155" customFormat="1" ht="27" customHeight="1" thickBot="1">
      <c r="A23" s="156"/>
      <c r="B23" s="156"/>
      <c r="C23" s="156"/>
      <c r="D23" s="108">
        <f>D21+1</f>
        <v>4</v>
      </c>
      <c r="E23" s="159">
        <f>MID($E$15,D23,1)+0</f>
        <v>1</v>
      </c>
      <c r="F23" s="156"/>
      <c r="G23" s="134">
        <f>O21</f>
        <v>0.00024300000000000005</v>
      </c>
      <c r="H23" s="135" t="s">
        <v>58</v>
      </c>
      <c r="I23" s="136">
        <f>$D$11</f>
        <v>0.9</v>
      </c>
      <c r="J23" s="137" t="s">
        <v>58</v>
      </c>
      <c r="K23" s="138">
        <f>IF($E23=6,$F$11,(1-$F$11)/5)</f>
        <v>0.1</v>
      </c>
      <c r="L23" s="139" t="s">
        <v>46</v>
      </c>
      <c r="M23" s="140">
        <f>G23*I23*K23</f>
        <v>2.1870000000000006E-05</v>
      </c>
      <c r="N23" s="135"/>
      <c r="O23" s="141">
        <f>MAX(M23,Q23)</f>
        <v>2.1870000000000006E-05</v>
      </c>
      <c r="P23" s="142"/>
      <c r="Q23" s="143">
        <f>W23*U23*S23</f>
        <v>1.4623842592592594E-05</v>
      </c>
      <c r="R23" s="142" t="s">
        <v>47</v>
      </c>
      <c r="S23" s="144">
        <f>IF($E23=6,$F$11,(1-$F$11)/5)</f>
        <v>0.1</v>
      </c>
      <c r="T23" s="142" t="s">
        <v>58</v>
      </c>
      <c r="U23" s="144">
        <f>$D$12</f>
        <v>0.05</v>
      </c>
      <c r="V23" s="135" t="s">
        <v>58</v>
      </c>
      <c r="W23" s="145">
        <f>AG21</f>
        <v>0.002924768518518519</v>
      </c>
      <c r="X23" s="122"/>
      <c r="Y23" s="147">
        <f>O21</f>
        <v>0.00024300000000000005</v>
      </c>
      <c r="Z23" s="148" t="s">
        <v>58</v>
      </c>
      <c r="AA23" s="138">
        <f>$E$11</f>
        <v>0.09999999999999998</v>
      </c>
      <c r="AB23" s="148" t="s">
        <v>58</v>
      </c>
      <c r="AC23" s="138">
        <f>IF($E23=6,$F$12,(1-$F$12)/5)</f>
        <v>0.16666666666666669</v>
      </c>
      <c r="AD23" s="148" t="s">
        <v>46</v>
      </c>
      <c r="AE23" s="149">
        <f>Y23*AA23*AC23</f>
        <v>4.050000000000001E-06</v>
      </c>
      <c r="AF23" s="135"/>
      <c r="AG23" s="141">
        <f>MAX(AE23,AI23)</f>
        <v>0.0004630883487654322</v>
      </c>
      <c r="AH23" s="142"/>
      <c r="AI23" s="150">
        <f>AO23*AM23*AK23</f>
        <v>0.0004630883487654322</v>
      </c>
      <c r="AJ23" s="139" t="s">
        <v>47</v>
      </c>
      <c r="AK23" s="136">
        <f>IF($E23=6,$F$12,(1-$F$12)/5)</f>
        <v>0.16666666666666669</v>
      </c>
      <c r="AL23" s="137" t="s">
        <v>58</v>
      </c>
      <c r="AM23" s="144">
        <f>$E$12</f>
        <v>0.95</v>
      </c>
      <c r="AN23" s="137" t="s">
        <v>58</v>
      </c>
      <c r="AO23" s="151">
        <f>AG21</f>
        <v>0.002924768518518519</v>
      </c>
      <c r="AP23" s="158"/>
      <c r="AQ23" s="152" t="b">
        <f>IF(ISBLANK(AQ25),O23&gt;AG23,IF(AQ25,M25=O25,AG25=AE25))</f>
        <v>0</v>
      </c>
      <c r="AR23" s="153">
        <f>AG23/O23</f>
        <v>21.17459299338967</v>
      </c>
    </row>
    <row r="24" spans="1:44" s="155" customFormat="1" ht="27" customHeight="1" thickBot="1">
      <c r="A24" s="156"/>
      <c r="B24" s="156"/>
      <c r="C24" s="156"/>
      <c r="D24" s="108"/>
      <c r="E24" s="160"/>
      <c r="F24" s="156"/>
      <c r="G24" s="156"/>
      <c r="H24" s="156"/>
      <c r="I24" s="156"/>
      <c r="J24" s="156"/>
      <c r="K24" s="156"/>
      <c r="L24" s="156"/>
      <c r="M24" s="156"/>
      <c r="N24" s="156"/>
      <c r="O24" s="157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7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</row>
    <row r="25" spans="1:44" s="155" customFormat="1" ht="27" customHeight="1" thickBot="1">
      <c r="A25" s="156"/>
      <c r="B25" s="156"/>
      <c r="C25" s="156"/>
      <c r="D25" s="108">
        <f>D23+1</f>
        <v>5</v>
      </c>
      <c r="E25" s="159">
        <f>MID($E$15,D25,1)+0</f>
        <v>1</v>
      </c>
      <c r="F25" s="156"/>
      <c r="G25" s="134">
        <f>O23</f>
        <v>2.1870000000000006E-05</v>
      </c>
      <c r="H25" s="135" t="s">
        <v>58</v>
      </c>
      <c r="I25" s="136">
        <f>$D$11</f>
        <v>0.9</v>
      </c>
      <c r="J25" s="137" t="s">
        <v>58</v>
      </c>
      <c r="K25" s="138">
        <f>IF($E25=6,$F$11,(1-$F$11)/5)</f>
        <v>0.1</v>
      </c>
      <c r="L25" s="139" t="s">
        <v>46</v>
      </c>
      <c r="M25" s="140">
        <f>G25*I25*K25</f>
        <v>1.9683000000000007E-06</v>
      </c>
      <c r="N25" s="135"/>
      <c r="O25" s="141">
        <f>MAX(M25,Q25)</f>
        <v>2.3154417438271614E-06</v>
      </c>
      <c r="P25" s="142"/>
      <c r="Q25" s="143">
        <f>W25*U25*S25</f>
        <v>2.3154417438271614E-06</v>
      </c>
      <c r="R25" s="142" t="s">
        <v>47</v>
      </c>
      <c r="S25" s="144">
        <f>IF($E25=6,$F$11,(1-$F$11)/5)</f>
        <v>0.1</v>
      </c>
      <c r="T25" s="142" t="s">
        <v>58</v>
      </c>
      <c r="U25" s="144">
        <f>$D$12</f>
        <v>0.05</v>
      </c>
      <c r="V25" s="135" t="s">
        <v>58</v>
      </c>
      <c r="W25" s="145">
        <f>AG23</f>
        <v>0.0004630883487654322</v>
      </c>
      <c r="X25" s="122"/>
      <c r="Y25" s="147">
        <f>O23</f>
        <v>2.1870000000000006E-05</v>
      </c>
      <c r="Z25" s="148" t="s">
        <v>58</v>
      </c>
      <c r="AA25" s="138">
        <f>$E$11</f>
        <v>0.09999999999999998</v>
      </c>
      <c r="AB25" s="148" t="s">
        <v>58</v>
      </c>
      <c r="AC25" s="138">
        <f>IF($E25=6,$F$12,(1-$F$12)/5)</f>
        <v>0.16666666666666669</v>
      </c>
      <c r="AD25" s="148" t="s">
        <v>46</v>
      </c>
      <c r="AE25" s="149">
        <f>Y25*AA25*AC25</f>
        <v>3.645E-07</v>
      </c>
      <c r="AF25" s="135"/>
      <c r="AG25" s="141">
        <f>MAX(AE25,AI25)</f>
        <v>7.33223218878601E-05</v>
      </c>
      <c r="AH25" s="142"/>
      <c r="AI25" s="150">
        <f>AO25*AM25*AK25</f>
        <v>7.33223218878601E-05</v>
      </c>
      <c r="AJ25" s="139" t="s">
        <v>47</v>
      </c>
      <c r="AK25" s="136">
        <f>IF($E25=6,$F$12,(1-$F$12)/5)</f>
        <v>0.16666666666666669</v>
      </c>
      <c r="AL25" s="137" t="s">
        <v>58</v>
      </c>
      <c r="AM25" s="144">
        <f>$E$12</f>
        <v>0.95</v>
      </c>
      <c r="AN25" s="137" t="s">
        <v>58</v>
      </c>
      <c r="AO25" s="151">
        <f>AG23</f>
        <v>0.0004630883487654322</v>
      </c>
      <c r="AP25" s="158"/>
      <c r="AQ25" s="152" t="b">
        <f>IF(ISBLANK(AQ27),O25&gt;AG25,IF(AQ27,M27=O27,AG27=AE27))</f>
        <v>0</v>
      </c>
      <c r="AR25" s="153">
        <f>AG25/O25</f>
        <v>31.666666666666664</v>
      </c>
    </row>
    <row r="26" spans="1:44" s="155" customFormat="1" ht="27" customHeight="1" thickBot="1">
      <c r="A26" s="156"/>
      <c r="B26" s="156"/>
      <c r="C26" s="156"/>
      <c r="D26" s="108"/>
      <c r="E26" s="160"/>
      <c r="F26" s="156"/>
      <c r="G26" s="156"/>
      <c r="H26" s="156"/>
      <c r="I26" s="156"/>
      <c r="J26" s="156"/>
      <c r="K26" s="156"/>
      <c r="L26" s="156"/>
      <c r="M26" s="156"/>
      <c r="N26" s="156"/>
      <c r="O26" s="157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7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</row>
    <row r="27" spans="1:44" s="155" customFormat="1" ht="27" customHeight="1" thickBot="1">
      <c r="A27" s="156"/>
      <c r="B27" s="156"/>
      <c r="C27" s="156"/>
      <c r="D27" s="108">
        <f>D25+1</f>
        <v>6</v>
      </c>
      <c r="E27" s="159">
        <f>MID($E$15,D27,1)+0</f>
        <v>6</v>
      </c>
      <c r="F27" s="156"/>
      <c r="G27" s="134">
        <f>O25</f>
        <v>2.3154417438271614E-06</v>
      </c>
      <c r="H27" s="135" t="s">
        <v>58</v>
      </c>
      <c r="I27" s="136">
        <f>$D$11</f>
        <v>0.9</v>
      </c>
      <c r="J27" s="137" t="s">
        <v>58</v>
      </c>
      <c r="K27" s="138">
        <f>IF($E27=6,$F$11,(1-$F$11)/5)</f>
        <v>0.5</v>
      </c>
      <c r="L27" s="139" t="s">
        <v>46</v>
      </c>
      <c r="M27" s="140">
        <f>G27*I27*K27</f>
        <v>1.0419487847222227E-06</v>
      </c>
      <c r="N27" s="135"/>
      <c r="O27" s="141">
        <f>MAX(M27,Q27)</f>
        <v>1.8330580471965026E-06</v>
      </c>
      <c r="P27" s="142"/>
      <c r="Q27" s="143">
        <f>W27*U27*S27</f>
        <v>1.8330580471965026E-06</v>
      </c>
      <c r="R27" s="142" t="s">
        <v>47</v>
      </c>
      <c r="S27" s="144">
        <f>IF($E27=6,$F$11,(1-$F$11)/5)</f>
        <v>0.5</v>
      </c>
      <c r="T27" s="142" t="s">
        <v>58</v>
      </c>
      <c r="U27" s="144">
        <f>$D$12</f>
        <v>0.05</v>
      </c>
      <c r="V27" s="135" t="s">
        <v>58</v>
      </c>
      <c r="W27" s="145">
        <f>AG25</f>
        <v>7.33223218878601E-05</v>
      </c>
      <c r="X27" s="122"/>
      <c r="Y27" s="147">
        <f>O25</f>
        <v>2.3154417438271614E-06</v>
      </c>
      <c r="Z27" s="148" t="s">
        <v>58</v>
      </c>
      <c r="AA27" s="138">
        <f>$E$11</f>
        <v>0.09999999999999998</v>
      </c>
      <c r="AB27" s="148" t="s">
        <v>58</v>
      </c>
      <c r="AC27" s="138">
        <f>IF($E27=6,$F$12,(1-$F$12)/5)</f>
        <v>0.16666666666666666</v>
      </c>
      <c r="AD27" s="148" t="s">
        <v>46</v>
      </c>
      <c r="AE27" s="149">
        <f>Y27*AA27*AC27</f>
        <v>3.8590695730452676E-08</v>
      </c>
      <c r="AF27" s="135"/>
      <c r="AG27" s="141">
        <f>MAX(AE27,AI27)</f>
        <v>1.1609367632244515E-05</v>
      </c>
      <c r="AH27" s="142"/>
      <c r="AI27" s="150">
        <f>AO27*AM27*AK27</f>
        <v>1.1609367632244515E-05</v>
      </c>
      <c r="AJ27" s="139" t="s">
        <v>47</v>
      </c>
      <c r="AK27" s="136">
        <f>IF($E27=6,$F$12,(1-$F$12)/5)</f>
        <v>0.16666666666666666</v>
      </c>
      <c r="AL27" s="137" t="s">
        <v>58</v>
      </c>
      <c r="AM27" s="144">
        <f>$E$12</f>
        <v>0.95</v>
      </c>
      <c r="AN27" s="137" t="s">
        <v>58</v>
      </c>
      <c r="AO27" s="151">
        <f>AG25</f>
        <v>7.33223218878601E-05</v>
      </c>
      <c r="AP27" s="158"/>
      <c r="AQ27" s="152" t="b">
        <f>IF(ISBLANK(AQ29),O27&gt;AG27,IF(AQ29,M29=O29,AG29=AE29))</f>
        <v>1</v>
      </c>
      <c r="AR27" s="153">
        <f>AG27/O27</f>
        <v>6.333333333333333</v>
      </c>
    </row>
    <row r="28" spans="1:44" s="155" customFormat="1" ht="27" customHeight="1" thickBot="1">
      <c r="A28" s="156"/>
      <c r="B28" s="156"/>
      <c r="C28" s="156"/>
      <c r="D28" s="108"/>
      <c r="E28" s="160"/>
      <c r="F28" s="156"/>
      <c r="G28" s="156"/>
      <c r="H28" s="156"/>
      <c r="I28" s="156"/>
      <c r="J28" s="156"/>
      <c r="K28" s="156"/>
      <c r="L28" s="156"/>
      <c r="M28" s="156"/>
      <c r="N28" s="156"/>
      <c r="O28" s="157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7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</row>
    <row r="29" spans="1:44" s="155" customFormat="1" ht="27" customHeight="1" thickBot="1">
      <c r="A29" s="156"/>
      <c r="B29" s="156"/>
      <c r="C29" s="156"/>
      <c r="D29" s="108">
        <f>D27+1</f>
        <v>7</v>
      </c>
      <c r="E29" s="159">
        <f>MID($E$15,D29,1)+0</f>
        <v>6</v>
      </c>
      <c r="F29" s="156"/>
      <c r="G29" s="134">
        <f>O27</f>
        <v>1.8330580471965026E-06</v>
      </c>
      <c r="H29" s="135" t="s">
        <v>58</v>
      </c>
      <c r="I29" s="136">
        <f>$D$11</f>
        <v>0.9</v>
      </c>
      <c r="J29" s="137" t="s">
        <v>58</v>
      </c>
      <c r="K29" s="138">
        <f>IF($E29=6,$F$11,(1-$F$11)/5)</f>
        <v>0.5</v>
      </c>
      <c r="L29" s="139" t="s">
        <v>46</v>
      </c>
      <c r="M29" s="140">
        <f aca="true" t="shared" si="0" ref="M29:M35">G29*I29*K29</f>
        <v>8.248761212384261E-07</v>
      </c>
      <c r="N29" s="135"/>
      <c r="O29" s="141">
        <f aca="true" t="shared" si="1" ref="O29:O35">MAX(M29,Q29)</f>
        <v>8.248761212384261E-07</v>
      </c>
      <c r="P29" s="142"/>
      <c r="Q29" s="143">
        <f aca="true" t="shared" si="2" ref="Q29:Q35">W29*U29*S29</f>
        <v>2.902341908061129E-07</v>
      </c>
      <c r="R29" s="142" t="s">
        <v>47</v>
      </c>
      <c r="S29" s="144">
        <f>IF($E29=6,$F$11,(1-$F$11)/5)</f>
        <v>0.5</v>
      </c>
      <c r="T29" s="142" t="s">
        <v>58</v>
      </c>
      <c r="U29" s="144">
        <f>$D$12</f>
        <v>0.05</v>
      </c>
      <c r="V29" s="135" t="s">
        <v>58</v>
      </c>
      <c r="W29" s="145">
        <f>AG27</f>
        <v>1.1609367632244515E-05</v>
      </c>
      <c r="X29" s="122"/>
      <c r="Y29" s="147">
        <f>O27</f>
        <v>1.8330580471965026E-06</v>
      </c>
      <c r="Z29" s="148" t="s">
        <v>58</v>
      </c>
      <c r="AA29" s="138">
        <f>$E$11</f>
        <v>0.09999999999999998</v>
      </c>
      <c r="AB29" s="148" t="s">
        <v>58</v>
      </c>
      <c r="AC29" s="138">
        <f>IF($E29=6,$F$12,(1-$F$12)/5)</f>
        <v>0.16666666666666666</v>
      </c>
      <c r="AD29" s="148" t="s">
        <v>46</v>
      </c>
      <c r="AE29" s="149">
        <f aca="true" t="shared" si="3" ref="AE29:AE35">Y29*AA29*AC29</f>
        <v>3.055096745327504E-08</v>
      </c>
      <c r="AF29" s="135"/>
      <c r="AG29" s="141">
        <f aca="true" t="shared" si="4" ref="AG29:AG35">MAX(AE29,AI29)</f>
        <v>1.8381498751053813E-06</v>
      </c>
      <c r="AH29" s="142"/>
      <c r="AI29" s="150">
        <f aca="true" t="shared" si="5" ref="AI29:AI35">AO29*AM29*AK29</f>
        <v>1.8381498751053813E-06</v>
      </c>
      <c r="AJ29" s="139" t="s">
        <v>47</v>
      </c>
      <c r="AK29" s="136">
        <f>IF($E29=6,$F$12,(1-$F$12)/5)</f>
        <v>0.16666666666666666</v>
      </c>
      <c r="AL29" s="137" t="s">
        <v>58</v>
      </c>
      <c r="AM29" s="144">
        <f>$E$12</f>
        <v>0.95</v>
      </c>
      <c r="AN29" s="137" t="s">
        <v>58</v>
      </c>
      <c r="AO29" s="151">
        <f>AG27</f>
        <v>1.1609367632244515E-05</v>
      </c>
      <c r="AP29" s="158"/>
      <c r="AQ29" s="152" t="b">
        <f>IF(ISBLANK(AQ31),O29&gt;AG29,IF(AQ31,M31=O31,AG31=AE31))</f>
        <v>1</v>
      </c>
      <c r="AR29" s="153">
        <f aca="true" t="shared" si="6" ref="AR29:AR35">AG29/O29</f>
        <v>2.2283950617283947</v>
      </c>
    </row>
    <row r="30" spans="1:44" s="155" customFormat="1" ht="27" customHeight="1" thickBot="1">
      <c r="A30" s="156"/>
      <c r="B30" s="156"/>
      <c r="C30" s="156"/>
      <c r="D30" s="108"/>
      <c r="E30" s="160"/>
      <c r="F30" s="156"/>
      <c r="G30" s="156"/>
      <c r="H30" s="156"/>
      <c r="I30" s="156"/>
      <c r="J30" s="156"/>
      <c r="K30" s="156"/>
      <c r="L30" s="156"/>
      <c r="M30" s="156"/>
      <c r="N30" s="156"/>
      <c r="O30" s="157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7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</row>
    <row r="31" spans="1:44" s="155" customFormat="1" ht="27" customHeight="1" thickBot="1">
      <c r="A31" s="156"/>
      <c r="B31" s="156"/>
      <c r="C31" s="156"/>
      <c r="D31" s="108">
        <f>D29+1</f>
        <v>8</v>
      </c>
      <c r="E31" s="159">
        <f>MID($E$15,D31,1)+0</f>
        <v>6</v>
      </c>
      <c r="F31" s="156"/>
      <c r="G31" s="134">
        <f>O29</f>
        <v>8.248761212384261E-07</v>
      </c>
      <c r="H31" s="135" t="s">
        <v>58</v>
      </c>
      <c r="I31" s="136">
        <f>$D$11</f>
        <v>0.9</v>
      </c>
      <c r="J31" s="137" t="s">
        <v>58</v>
      </c>
      <c r="K31" s="138">
        <f>IF($E31=6,$F$11,(1-$F$11)/5)</f>
        <v>0.5</v>
      </c>
      <c r="L31" s="139" t="s">
        <v>46</v>
      </c>
      <c r="M31" s="140">
        <f t="shared" si="0"/>
        <v>3.711942545572918E-07</v>
      </c>
      <c r="N31" s="135"/>
      <c r="O31" s="141">
        <f t="shared" si="1"/>
        <v>3.711942545572918E-07</v>
      </c>
      <c r="P31" s="142"/>
      <c r="Q31" s="143">
        <f t="shared" si="2"/>
        <v>4.5953746877634535E-08</v>
      </c>
      <c r="R31" s="142" t="s">
        <v>47</v>
      </c>
      <c r="S31" s="144">
        <f>IF($E31=6,$F$11,(1-$F$11)/5)</f>
        <v>0.5</v>
      </c>
      <c r="T31" s="142" t="s">
        <v>58</v>
      </c>
      <c r="U31" s="144">
        <f>$D$12</f>
        <v>0.05</v>
      </c>
      <c r="V31" s="135" t="s">
        <v>58</v>
      </c>
      <c r="W31" s="145">
        <f>AG29</f>
        <v>1.8381498751053813E-06</v>
      </c>
      <c r="X31" s="122"/>
      <c r="Y31" s="147">
        <f>O29</f>
        <v>8.248761212384261E-07</v>
      </c>
      <c r="Z31" s="148" t="s">
        <v>58</v>
      </c>
      <c r="AA31" s="138">
        <f>$E$11</f>
        <v>0.09999999999999998</v>
      </c>
      <c r="AB31" s="148" t="s">
        <v>58</v>
      </c>
      <c r="AC31" s="138">
        <f>IF($E31=6,$F$12,(1-$F$12)/5)</f>
        <v>0.16666666666666666</v>
      </c>
      <c r="AD31" s="148" t="s">
        <v>46</v>
      </c>
      <c r="AE31" s="149">
        <f t="shared" si="3"/>
        <v>1.3747935353973766E-08</v>
      </c>
      <c r="AF31" s="135"/>
      <c r="AG31" s="141">
        <f t="shared" si="4"/>
        <v>2.9104039689168535E-07</v>
      </c>
      <c r="AH31" s="142"/>
      <c r="AI31" s="150">
        <f t="shared" si="5"/>
        <v>2.9104039689168535E-07</v>
      </c>
      <c r="AJ31" s="139" t="s">
        <v>47</v>
      </c>
      <c r="AK31" s="136">
        <f>IF($E31=6,$F$12,(1-$F$12)/5)</f>
        <v>0.16666666666666666</v>
      </c>
      <c r="AL31" s="137" t="s">
        <v>58</v>
      </c>
      <c r="AM31" s="144">
        <f>$E$12</f>
        <v>0.95</v>
      </c>
      <c r="AN31" s="137" t="s">
        <v>58</v>
      </c>
      <c r="AO31" s="151">
        <f>AG29</f>
        <v>1.8381498751053813E-06</v>
      </c>
      <c r="AP31" s="158"/>
      <c r="AQ31" s="152" t="b">
        <f>IF(ISBLANK(AQ33),O31&gt;AG31,IF(AQ33,M33=O33,AG33=AE33))</f>
        <v>1</v>
      </c>
      <c r="AR31" s="153">
        <f t="shared" si="6"/>
        <v>0.7840649291266573</v>
      </c>
    </row>
    <row r="32" spans="1:44" s="155" customFormat="1" ht="27" customHeight="1" thickBot="1">
      <c r="A32" s="156"/>
      <c r="B32" s="156"/>
      <c r="C32" s="156"/>
      <c r="D32" s="108"/>
      <c r="E32" s="160"/>
      <c r="F32" s="156"/>
      <c r="G32" s="156"/>
      <c r="H32" s="156"/>
      <c r="I32" s="156"/>
      <c r="J32" s="156"/>
      <c r="K32" s="156"/>
      <c r="L32" s="156"/>
      <c r="M32" s="156"/>
      <c r="N32" s="156"/>
      <c r="O32" s="157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7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</row>
    <row r="33" spans="1:44" s="155" customFormat="1" ht="27" customHeight="1" thickBot="1">
      <c r="A33" s="156"/>
      <c r="B33" s="156"/>
      <c r="C33" s="156"/>
      <c r="D33" s="108">
        <f>D31+1</f>
        <v>9</v>
      </c>
      <c r="E33" s="159">
        <f>MID($E$15,D33,1)+0</f>
        <v>6</v>
      </c>
      <c r="F33" s="156"/>
      <c r="G33" s="134">
        <f>O31</f>
        <v>3.711942545572918E-07</v>
      </c>
      <c r="H33" s="135" t="s">
        <v>58</v>
      </c>
      <c r="I33" s="136">
        <f>$D$11</f>
        <v>0.9</v>
      </c>
      <c r="J33" s="137" t="s">
        <v>58</v>
      </c>
      <c r="K33" s="138">
        <f>IF($E33=6,$F$11,(1-$F$11)/5)</f>
        <v>0.5</v>
      </c>
      <c r="L33" s="139" t="s">
        <v>46</v>
      </c>
      <c r="M33" s="140">
        <f t="shared" si="0"/>
        <v>1.670374145507813E-07</v>
      </c>
      <c r="N33" s="135"/>
      <c r="O33" s="141">
        <f t="shared" si="1"/>
        <v>1.670374145507813E-07</v>
      </c>
      <c r="P33" s="142"/>
      <c r="Q33" s="143">
        <f t="shared" si="2"/>
        <v>7.276009922292134E-09</v>
      </c>
      <c r="R33" s="142" t="s">
        <v>47</v>
      </c>
      <c r="S33" s="144">
        <f>IF($E33=6,$F$11,(1-$F$11)/5)</f>
        <v>0.5</v>
      </c>
      <c r="T33" s="142" t="s">
        <v>58</v>
      </c>
      <c r="U33" s="144">
        <f>$D$12</f>
        <v>0.05</v>
      </c>
      <c r="V33" s="135" t="s">
        <v>58</v>
      </c>
      <c r="W33" s="145">
        <f>AG31</f>
        <v>2.9104039689168535E-07</v>
      </c>
      <c r="X33" s="122"/>
      <c r="Y33" s="147">
        <f>O31</f>
        <v>3.711942545572918E-07</v>
      </c>
      <c r="Z33" s="148" t="s">
        <v>58</v>
      </c>
      <c r="AA33" s="138">
        <f>$E$11</f>
        <v>0.09999999999999998</v>
      </c>
      <c r="AB33" s="148" t="s">
        <v>58</v>
      </c>
      <c r="AC33" s="138">
        <f>IF($E33=6,$F$12,(1-$F$12)/5)</f>
        <v>0.16666666666666666</v>
      </c>
      <c r="AD33" s="148" t="s">
        <v>46</v>
      </c>
      <c r="AE33" s="149">
        <f t="shared" si="3"/>
        <v>6.186570909288195E-09</v>
      </c>
      <c r="AF33" s="135"/>
      <c r="AG33" s="141">
        <f t="shared" si="4"/>
        <v>4.608139617451684E-08</v>
      </c>
      <c r="AH33" s="142"/>
      <c r="AI33" s="150">
        <f t="shared" si="5"/>
        <v>4.608139617451684E-08</v>
      </c>
      <c r="AJ33" s="139" t="s">
        <v>47</v>
      </c>
      <c r="AK33" s="136">
        <f>IF($E33=6,$F$12,(1-$F$12)/5)</f>
        <v>0.16666666666666666</v>
      </c>
      <c r="AL33" s="137" t="s">
        <v>58</v>
      </c>
      <c r="AM33" s="144">
        <f>$E$12</f>
        <v>0.95</v>
      </c>
      <c r="AN33" s="137" t="s">
        <v>58</v>
      </c>
      <c r="AO33" s="151">
        <f>AG31</f>
        <v>2.9104039689168535E-07</v>
      </c>
      <c r="AP33" s="158"/>
      <c r="AQ33" s="152" t="b">
        <f>IF(ISBLANK(AQ35),O33&gt;AG33,IF(AQ35,M35=O35,AG35=AE35))</f>
        <v>1</v>
      </c>
      <c r="AR33" s="153">
        <f t="shared" si="6"/>
        <v>0.2758746972853053</v>
      </c>
    </row>
    <row r="34" spans="1:44" s="155" customFormat="1" ht="27" customHeight="1" thickBot="1">
      <c r="A34" s="156"/>
      <c r="B34" s="156"/>
      <c r="C34" s="156"/>
      <c r="D34" s="108"/>
      <c r="E34" s="160"/>
      <c r="F34" s="156"/>
      <c r="G34" s="156"/>
      <c r="H34" s="156"/>
      <c r="I34" s="156"/>
      <c r="J34" s="156"/>
      <c r="K34" s="156"/>
      <c r="L34" s="156"/>
      <c r="M34" s="156"/>
      <c r="N34" s="156"/>
      <c r="O34" s="157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7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</row>
    <row r="35" spans="1:44" s="155" customFormat="1" ht="27" customHeight="1" thickBot="1">
      <c r="A35" s="156"/>
      <c r="B35" s="156"/>
      <c r="C35" s="156"/>
      <c r="D35" s="108">
        <f>D33+1</f>
        <v>10</v>
      </c>
      <c r="E35" s="159">
        <f>MID($E$15,D35,1)+0</f>
        <v>6</v>
      </c>
      <c r="F35" s="156"/>
      <c r="G35" s="134">
        <f>O33</f>
        <v>1.670374145507813E-07</v>
      </c>
      <c r="H35" s="135" t="s">
        <v>58</v>
      </c>
      <c r="I35" s="136">
        <f>$D$11</f>
        <v>0.9</v>
      </c>
      <c r="J35" s="137" t="s">
        <v>58</v>
      </c>
      <c r="K35" s="138">
        <f>IF($E35=6,$F$11,(1-$F$11)/5)</f>
        <v>0.5</v>
      </c>
      <c r="L35" s="139" t="s">
        <v>46</v>
      </c>
      <c r="M35" s="140">
        <f t="shared" si="0"/>
        <v>7.51668365478516E-08</v>
      </c>
      <c r="N35" s="135"/>
      <c r="O35" s="141">
        <f t="shared" si="1"/>
        <v>7.51668365478516E-08</v>
      </c>
      <c r="P35" s="142"/>
      <c r="Q35" s="143">
        <f t="shared" si="2"/>
        <v>1.152034904362921E-09</v>
      </c>
      <c r="R35" s="142" t="s">
        <v>47</v>
      </c>
      <c r="S35" s="144">
        <f>IF($E35=6,$F$11,(1-$F$11)/5)</f>
        <v>0.5</v>
      </c>
      <c r="T35" s="142" t="s">
        <v>58</v>
      </c>
      <c r="U35" s="144">
        <f>$D$12</f>
        <v>0.05</v>
      </c>
      <c r="V35" s="135" t="s">
        <v>58</v>
      </c>
      <c r="W35" s="145">
        <f>AG33</f>
        <v>4.608139617451684E-08</v>
      </c>
      <c r="X35" s="122"/>
      <c r="Y35" s="147">
        <f>O33</f>
        <v>1.670374145507813E-07</v>
      </c>
      <c r="Z35" s="148" t="s">
        <v>58</v>
      </c>
      <c r="AA35" s="138">
        <f>$E$11</f>
        <v>0.09999999999999998</v>
      </c>
      <c r="AB35" s="148" t="s">
        <v>58</v>
      </c>
      <c r="AC35" s="138">
        <f>IF($E35=6,$F$12,(1-$F$12)/5)</f>
        <v>0.16666666666666666</v>
      </c>
      <c r="AD35" s="148" t="s">
        <v>46</v>
      </c>
      <c r="AE35" s="149">
        <f t="shared" si="3"/>
        <v>2.783956909179688E-09</v>
      </c>
      <c r="AF35" s="135"/>
      <c r="AG35" s="141">
        <f t="shared" si="4"/>
        <v>7.2962210609651655E-09</v>
      </c>
      <c r="AH35" s="142"/>
      <c r="AI35" s="150">
        <f t="shared" si="5"/>
        <v>7.2962210609651655E-09</v>
      </c>
      <c r="AJ35" s="139" t="s">
        <v>47</v>
      </c>
      <c r="AK35" s="136">
        <f>IF($E35=6,$F$12,(1-$F$12)/5)</f>
        <v>0.16666666666666666</v>
      </c>
      <c r="AL35" s="137" t="s">
        <v>58</v>
      </c>
      <c r="AM35" s="144">
        <f>$E$12</f>
        <v>0.95</v>
      </c>
      <c r="AN35" s="137" t="s">
        <v>58</v>
      </c>
      <c r="AO35" s="151">
        <f>AG33</f>
        <v>4.608139617451684E-08</v>
      </c>
      <c r="AP35" s="158"/>
      <c r="AQ35" s="152" t="b">
        <f>IF(ISBLANK(AQ36),O35&gt;AG35,IF(AQ36,M36=O36,AG36=AE36))</f>
        <v>1</v>
      </c>
      <c r="AR35" s="153">
        <f t="shared" si="6"/>
        <v>0.0970670231189037</v>
      </c>
    </row>
  </sheetData>
  <mergeCells count="3">
    <mergeCell ref="E15:I15"/>
    <mergeCell ref="W13:Y13"/>
    <mergeCell ref="C8:F8"/>
  </mergeCells>
  <conditionalFormatting sqref="Y16:AO16">
    <cfRule type="expression" priority="1" dxfId="0" stopIfTrue="1">
      <formula>$F$29=1</formula>
    </cfRule>
  </conditionalFormatting>
  <conditionalFormatting sqref="G35:W35 G33:W33 G31:W31 G29:W29 G27:W27 G25:W25 G23:W23 G21:W21 G17:W17 G19:W19">
    <cfRule type="expression" priority="2" dxfId="0" stopIfTrue="1">
      <formula>$AQ17</formula>
    </cfRule>
  </conditionalFormatting>
  <conditionalFormatting sqref="Y35:AO35 Y33:AO33 Y31:AO31 Y29:AO29 Y27:AO27 Y25:AO25 Y23:AO23 Y21:AO21 Y17:AO17 Y19:AO19">
    <cfRule type="expression" priority="3" dxfId="0" stopIfTrue="1">
      <formula>NOT($AQ17)</formula>
    </cfRule>
  </conditionalFormatting>
  <printOptions/>
  <pageMargins left="0.75" right="0.75" top="1" bottom="1" header="0.5" footer="0.5"/>
  <pageSetup fitToHeight="1" fitToWidth="1" orientation="landscape" paperSize="9" scale="55"/>
  <colBreaks count="1" manualBreakCount="1">
    <brk id="2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5"/>
  <sheetViews>
    <sheetView workbookViewId="0" topLeftCell="A14">
      <selection activeCell="AG35" sqref="A1:IV65536"/>
    </sheetView>
  </sheetViews>
  <sheetFormatPr defaultColWidth="11.00390625" defaultRowHeight="12.75"/>
  <cols>
    <col min="1" max="2" width="2.25390625" style="93" customWidth="1"/>
    <col min="3" max="3" width="2.125" style="93" customWidth="1"/>
    <col min="4" max="6" width="5.625" style="93" customWidth="1"/>
    <col min="7" max="7" width="7.75390625" style="94" customWidth="1"/>
    <col min="8" max="8" width="1.875" style="95" customWidth="1"/>
    <col min="9" max="9" width="4.375" style="96" customWidth="1"/>
    <col min="10" max="10" width="1.875" style="95" customWidth="1"/>
    <col min="11" max="11" width="4.375" style="96" customWidth="1"/>
    <col min="12" max="12" width="3.375" style="95" customWidth="1"/>
    <col min="13" max="13" width="7.75390625" style="94" customWidth="1"/>
    <col min="14" max="14" width="1.625" style="95" customWidth="1"/>
    <col min="15" max="15" width="8.375" style="94" customWidth="1"/>
    <col min="16" max="16" width="1.625" style="95" customWidth="1"/>
    <col min="17" max="17" width="7.75390625" style="94" customWidth="1"/>
    <col min="18" max="18" width="3.375" style="95" customWidth="1"/>
    <col min="19" max="19" width="4.375" style="96" customWidth="1"/>
    <col min="20" max="20" width="1.875" style="95" customWidth="1"/>
    <col min="21" max="21" width="4.375" style="96" customWidth="1"/>
    <col min="22" max="22" width="1.875" style="95" customWidth="1"/>
    <col min="23" max="23" width="7.75390625" style="94" customWidth="1"/>
    <col min="24" max="24" width="5.75390625" style="95" customWidth="1"/>
    <col min="25" max="25" width="7.75390625" style="94" customWidth="1"/>
    <col min="26" max="26" width="1.875" style="95" customWidth="1"/>
    <col min="27" max="27" width="4.375" style="96" customWidth="1"/>
    <col min="28" max="28" width="1.875" style="95" customWidth="1"/>
    <col min="29" max="29" width="4.375" style="96" customWidth="1"/>
    <col min="30" max="30" width="3.375" style="95" customWidth="1"/>
    <col min="31" max="31" width="7.75390625" style="94" customWidth="1"/>
    <col min="32" max="32" width="1.625" style="95" customWidth="1"/>
    <col min="33" max="33" width="8.375" style="94" customWidth="1"/>
    <col min="34" max="34" width="1.625" style="95" customWidth="1"/>
    <col min="35" max="35" width="7.75390625" style="94" customWidth="1"/>
    <col min="36" max="36" width="3.375" style="95" customWidth="1"/>
    <col min="37" max="37" width="4.375" style="96" customWidth="1"/>
    <col min="38" max="38" width="1.875" style="95" customWidth="1"/>
    <col min="39" max="39" width="4.375" style="96" customWidth="1"/>
    <col min="40" max="40" width="1.875" style="95" customWidth="1"/>
    <col min="41" max="41" width="7.75390625" style="94" customWidth="1"/>
    <col min="42" max="42" width="3.625" style="95" customWidth="1"/>
    <col min="43" max="43" width="10.00390625" style="95" customWidth="1"/>
    <col min="44" max="44" width="8.625" style="97" customWidth="1"/>
    <col min="45" max="16384" width="10.75390625" style="93" customWidth="1"/>
  </cols>
  <sheetData>
    <row r="1" spans="1:44" ht="15.75">
      <c r="A1" s="102" t="s">
        <v>25</v>
      </c>
      <c r="B1" s="103"/>
      <c r="C1" s="103"/>
      <c r="D1" s="103"/>
      <c r="E1" s="103"/>
      <c r="F1" s="103"/>
      <c r="G1" s="104"/>
      <c r="H1" s="105"/>
      <c r="I1" s="106"/>
      <c r="J1" s="105"/>
      <c r="K1" s="106"/>
      <c r="L1" s="105"/>
      <c r="M1" s="104"/>
      <c r="N1" s="105"/>
      <c r="O1" s="104"/>
      <c r="P1" s="105"/>
      <c r="Q1" s="104"/>
      <c r="R1" s="105"/>
      <c r="S1" s="106"/>
      <c r="T1" s="105"/>
      <c r="U1" s="106"/>
      <c r="V1" s="105"/>
      <c r="W1" s="104"/>
      <c r="X1" s="105"/>
      <c r="Y1" s="104"/>
      <c r="Z1" s="105"/>
      <c r="AA1" s="106"/>
      <c r="AB1" s="105"/>
      <c r="AC1" s="106"/>
      <c r="AD1" s="105"/>
      <c r="AE1" s="104"/>
      <c r="AF1" s="105"/>
      <c r="AG1" s="104"/>
      <c r="AH1" s="105"/>
      <c r="AI1" s="104"/>
      <c r="AJ1" s="105"/>
      <c r="AK1" s="106"/>
      <c r="AL1" s="105"/>
      <c r="AM1" s="106"/>
      <c r="AN1" s="105"/>
      <c r="AO1" s="104"/>
      <c r="AP1" s="105"/>
      <c r="AQ1" s="105"/>
      <c r="AR1" s="107"/>
    </row>
    <row r="2" spans="1:44" ht="15.75">
      <c r="A2" s="103"/>
      <c r="B2" s="103"/>
      <c r="C2" s="103"/>
      <c r="D2" s="103"/>
      <c r="E2" s="103"/>
      <c r="F2" s="103"/>
      <c r="G2" s="104"/>
      <c r="H2" s="105"/>
      <c r="I2" s="106"/>
      <c r="J2" s="105"/>
      <c r="K2" s="106"/>
      <c r="L2" s="105"/>
      <c r="M2" s="104"/>
      <c r="N2" s="105"/>
      <c r="O2" s="104"/>
      <c r="P2" s="105"/>
      <c r="Q2" s="104"/>
      <c r="R2" s="105"/>
      <c r="S2" s="106"/>
      <c r="T2" s="105"/>
      <c r="U2" s="106"/>
      <c r="V2" s="105"/>
      <c r="W2" s="104"/>
      <c r="X2" s="105"/>
      <c r="Y2" s="104"/>
      <c r="Z2" s="105"/>
      <c r="AA2" s="106"/>
      <c r="AB2" s="105"/>
      <c r="AC2" s="106"/>
      <c r="AD2" s="105"/>
      <c r="AE2" s="104"/>
      <c r="AF2" s="105"/>
      <c r="AG2" s="104"/>
      <c r="AH2" s="105"/>
      <c r="AI2" s="104"/>
      <c r="AJ2" s="105"/>
      <c r="AK2" s="106"/>
      <c r="AL2" s="105"/>
      <c r="AM2" s="106"/>
      <c r="AN2" s="105"/>
      <c r="AO2" s="104"/>
      <c r="AP2" s="105"/>
      <c r="AQ2" s="105"/>
      <c r="AR2" s="107"/>
    </row>
    <row r="3" spans="2:44" ht="15.75">
      <c r="B3" s="103" t="s">
        <v>26</v>
      </c>
      <c r="C3" s="103"/>
      <c r="D3" s="103"/>
      <c r="E3" s="103"/>
      <c r="F3" s="103"/>
      <c r="G3" s="104"/>
      <c r="H3" s="105"/>
      <c r="I3" s="106"/>
      <c r="J3" s="105"/>
      <c r="K3" s="106"/>
      <c r="L3" s="105"/>
      <c r="M3" s="104"/>
      <c r="N3" s="105"/>
      <c r="O3" s="104"/>
      <c r="P3" s="105"/>
      <c r="Q3" s="104"/>
      <c r="R3" s="105"/>
      <c r="S3" s="106"/>
      <c r="T3" s="105"/>
      <c r="U3" s="106"/>
      <c r="V3" s="105"/>
      <c r="W3" s="104"/>
      <c r="X3" s="105"/>
      <c r="Y3" s="104"/>
      <c r="Z3" s="105"/>
      <c r="AA3" s="106"/>
      <c r="AB3" s="105"/>
      <c r="AC3" s="106"/>
      <c r="AD3" s="105"/>
      <c r="AE3" s="104"/>
      <c r="AF3" s="105"/>
      <c r="AG3" s="104"/>
      <c r="AH3" s="105"/>
      <c r="AI3" s="104"/>
      <c r="AJ3" s="105"/>
      <c r="AK3" s="106"/>
      <c r="AL3" s="105"/>
      <c r="AM3" s="106"/>
      <c r="AN3" s="105"/>
      <c r="AO3" s="104"/>
      <c r="AP3" s="105"/>
      <c r="AQ3" s="105"/>
      <c r="AR3" s="107"/>
    </row>
    <row r="4" spans="2:44" ht="15.75">
      <c r="B4" s="103" t="s">
        <v>43</v>
      </c>
      <c r="C4" s="103"/>
      <c r="D4" s="103"/>
      <c r="E4" s="103"/>
      <c r="F4" s="103"/>
      <c r="G4" s="104"/>
      <c r="H4" s="105"/>
      <c r="I4" s="106"/>
      <c r="J4" s="105"/>
      <c r="K4" s="106"/>
      <c r="L4" s="105"/>
      <c r="M4" s="104"/>
      <c r="N4" s="105"/>
      <c r="O4" s="104"/>
      <c r="P4" s="105"/>
      <c r="Q4" s="104"/>
      <c r="R4" s="105"/>
      <c r="S4" s="106"/>
      <c r="T4" s="105"/>
      <c r="U4" s="106"/>
      <c r="V4" s="105"/>
      <c r="W4" s="104"/>
      <c r="X4" s="105"/>
      <c r="Y4" s="104"/>
      <c r="Z4" s="105"/>
      <c r="AA4" s="106"/>
      <c r="AB4" s="105"/>
      <c r="AC4" s="106"/>
      <c r="AD4" s="105"/>
      <c r="AE4" s="104"/>
      <c r="AF4" s="105"/>
      <c r="AG4" s="104"/>
      <c r="AH4" s="105"/>
      <c r="AI4" s="104"/>
      <c r="AJ4" s="105"/>
      <c r="AK4" s="106"/>
      <c r="AL4" s="105"/>
      <c r="AM4" s="106"/>
      <c r="AN4" s="105"/>
      <c r="AO4" s="104"/>
      <c r="AP4" s="105"/>
      <c r="AQ4" s="105"/>
      <c r="AR4" s="107"/>
    </row>
    <row r="5" spans="2:44" ht="15.75">
      <c r="B5" s="103" t="s">
        <v>44</v>
      </c>
      <c r="C5" s="103"/>
      <c r="D5" s="103"/>
      <c r="E5" s="103"/>
      <c r="F5" s="103"/>
      <c r="G5" s="104"/>
      <c r="H5" s="105"/>
      <c r="I5" s="106"/>
      <c r="J5" s="105"/>
      <c r="K5" s="106"/>
      <c r="L5" s="105"/>
      <c r="M5" s="104"/>
      <c r="N5" s="105"/>
      <c r="O5" s="104"/>
      <c r="P5" s="105"/>
      <c r="Q5" s="104"/>
      <c r="R5" s="105"/>
      <c r="S5" s="106"/>
      <c r="T5" s="105"/>
      <c r="U5" s="106"/>
      <c r="V5" s="105"/>
      <c r="W5" s="104"/>
      <c r="X5" s="105"/>
      <c r="Y5" s="104"/>
      <c r="Z5" s="105"/>
      <c r="AA5" s="106"/>
      <c r="AB5" s="105"/>
      <c r="AC5" s="106"/>
      <c r="AD5" s="105"/>
      <c r="AE5" s="104"/>
      <c r="AF5" s="105"/>
      <c r="AG5" s="104"/>
      <c r="AH5" s="105"/>
      <c r="AI5" s="104"/>
      <c r="AJ5" s="105"/>
      <c r="AK5" s="106"/>
      <c r="AL5" s="105"/>
      <c r="AM5" s="106"/>
      <c r="AN5" s="105"/>
      <c r="AO5" s="104"/>
      <c r="AP5" s="105"/>
      <c r="AQ5" s="105"/>
      <c r="AR5" s="107"/>
    </row>
    <row r="6" spans="2:44" ht="15.75">
      <c r="B6" s="103" t="s">
        <v>45</v>
      </c>
      <c r="C6" s="103"/>
      <c r="D6" s="103"/>
      <c r="E6" s="103"/>
      <c r="F6" s="103"/>
      <c r="G6" s="104"/>
      <c r="H6" s="105"/>
      <c r="I6" s="106"/>
      <c r="J6" s="105"/>
      <c r="K6" s="106"/>
      <c r="L6" s="105"/>
      <c r="M6" s="104"/>
      <c r="N6" s="105"/>
      <c r="O6" s="104"/>
      <c r="P6" s="105"/>
      <c r="Q6" s="104"/>
      <c r="R6" s="105"/>
      <c r="S6" s="106"/>
      <c r="T6" s="105"/>
      <c r="U6" s="106"/>
      <c r="V6" s="105"/>
      <c r="W6" s="104"/>
      <c r="X6" s="105"/>
      <c r="Y6" s="104"/>
      <c r="Z6" s="105"/>
      <c r="AA6" s="106"/>
      <c r="AB6" s="105"/>
      <c r="AC6" s="106"/>
      <c r="AD6" s="105"/>
      <c r="AE6" s="104"/>
      <c r="AF6" s="105"/>
      <c r="AG6" s="104"/>
      <c r="AH6" s="105"/>
      <c r="AI6" s="104"/>
      <c r="AJ6" s="105"/>
      <c r="AK6" s="106"/>
      <c r="AL6" s="105"/>
      <c r="AM6" s="106"/>
      <c r="AN6" s="105"/>
      <c r="AO6" s="104"/>
      <c r="AP6" s="105"/>
      <c r="AQ6" s="105"/>
      <c r="AR6" s="107"/>
    </row>
    <row r="7" spans="1:44" ht="15.75">
      <c r="A7" s="103"/>
      <c r="B7" s="103"/>
      <c r="C7" s="103"/>
      <c r="D7" s="103"/>
      <c r="E7" s="103"/>
      <c r="F7" s="103"/>
      <c r="G7" s="104"/>
      <c r="H7" s="105"/>
      <c r="I7" s="106"/>
      <c r="J7" s="105"/>
      <c r="K7" s="106"/>
      <c r="L7" s="105"/>
      <c r="M7" s="104"/>
      <c r="N7" s="105"/>
      <c r="O7" s="104"/>
      <c r="P7" s="105"/>
      <c r="Q7" s="104"/>
      <c r="R7" s="105"/>
      <c r="S7" s="106"/>
      <c r="T7" s="105"/>
      <c r="U7" s="106"/>
      <c r="V7" s="105"/>
      <c r="W7" s="104"/>
      <c r="X7" s="105"/>
      <c r="Y7" s="104"/>
      <c r="Z7" s="105"/>
      <c r="AA7" s="106"/>
      <c r="AB7" s="105"/>
      <c r="AC7" s="106"/>
      <c r="AD7" s="105"/>
      <c r="AE7" s="104"/>
      <c r="AF7" s="105"/>
      <c r="AG7" s="104"/>
      <c r="AH7" s="105"/>
      <c r="AI7" s="104"/>
      <c r="AJ7" s="105"/>
      <c r="AK7" s="106"/>
      <c r="AL7" s="105"/>
      <c r="AM7" s="106"/>
      <c r="AN7" s="105"/>
      <c r="AO7" s="104"/>
      <c r="AP7" s="105"/>
      <c r="AQ7" s="105"/>
      <c r="AR7" s="107"/>
    </row>
    <row r="8" spans="1:44" ht="18.75" thickBot="1">
      <c r="A8" s="103"/>
      <c r="C8" s="224" t="s">
        <v>19</v>
      </c>
      <c r="D8" s="224"/>
      <c r="E8" s="224"/>
      <c r="F8" s="224"/>
      <c r="G8" s="104"/>
      <c r="H8" s="105"/>
      <c r="I8" s="106"/>
      <c r="J8" s="105"/>
      <c r="K8" s="106"/>
      <c r="L8" s="105"/>
      <c r="M8" s="104"/>
      <c r="N8" s="105"/>
      <c r="O8" s="104"/>
      <c r="P8" s="105"/>
      <c r="Q8" s="104"/>
      <c r="R8" s="105"/>
      <c r="S8" s="106"/>
      <c r="T8" s="105"/>
      <c r="U8" s="106"/>
      <c r="V8" s="105"/>
      <c r="W8" s="104"/>
      <c r="X8" s="105"/>
      <c r="Y8" s="104"/>
      <c r="Z8" s="105"/>
      <c r="AA8" s="106"/>
      <c r="AB8" s="105"/>
      <c r="AC8" s="106"/>
      <c r="AD8" s="105"/>
      <c r="AE8" s="104"/>
      <c r="AF8" s="105"/>
      <c r="AG8" s="104"/>
      <c r="AH8" s="105"/>
      <c r="AI8" s="104"/>
      <c r="AJ8" s="105"/>
      <c r="AK8" s="106"/>
      <c r="AL8" s="105"/>
      <c r="AM8" s="106"/>
      <c r="AN8" s="105"/>
      <c r="AO8" s="104"/>
      <c r="AP8" s="105"/>
      <c r="AQ8" s="105"/>
      <c r="AR8" s="107"/>
    </row>
    <row r="9" spans="1:44" s="98" customFormat="1" ht="18">
      <c r="A9" s="108"/>
      <c r="C9" s="163"/>
      <c r="D9" s="164" t="s">
        <v>60</v>
      </c>
      <c r="E9" s="165" t="s">
        <v>61</v>
      </c>
      <c r="F9" s="166" t="s">
        <v>2</v>
      </c>
      <c r="G9" s="111"/>
      <c r="H9" s="109"/>
      <c r="I9" s="112"/>
      <c r="J9" s="109"/>
      <c r="K9" s="112"/>
      <c r="L9" s="109"/>
      <c r="M9" s="111"/>
      <c r="N9" s="109"/>
      <c r="O9" s="111"/>
      <c r="P9" s="109"/>
      <c r="Q9" s="111"/>
      <c r="R9" s="109"/>
      <c r="S9" s="112"/>
      <c r="T9" s="109"/>
      <c r="U9" s="112"/>
      <c r="V9" s="109"/>
      <c r="W9" s="111"/>
      <c r="X9" s="109"/>
      <c r="Y9" s="111"/>
      <c r="Z9" s="109"/>
      <c r="AA9" s="112"/>
      <c r="AB9" s="109"/>
      <c r="AC9" s="112"/>
      <c r="AD9" s="109"/>
      <c r="AE9" s="111"/>
      <c r="AF9" s="109"/>
      <c r="AG9" s="111"/>
      <c r="AH9" s="109"/>
      <c r="AI9" s="111"/>
      <c r="AJ9" s="109"/>
      <c r="AK9" s="112"/>
      <c r="AL9" s="109"/>
      <c r="AM9" s="112"/>
      <c r="AN9" s="109"/>
      <c r="AO9" s="111"/>
      <c r="AP9" s="109"/>
      <c r="AQ9" s="113"/>
      <c r="AR9" s="114"/>
    </row>
    <row r="10" spans="1:44" s="98" customFormat="1" ht="18">
      <c r="A10" s="108"/>
      <c r="C10" s="167" t="s">
        <v>0</v>
      </c>
      <c r="D10" s="168">
        <v>0.3</v>
      </c>
      <c r="E10" s="169">
        <f>1-D10</f>
        <v>0.7</v>
      </c>
      <c r="F10" s="170"/>
      <c r="G10" s="111"/>
      <c r="H10" s="109"/>
      <c r="I10" s="112"/>
      <c r="J10" s="109"/>
      <c r="K10" s="112"/>
      <c r="L10" s="109"/>
      <c r="M10" s="111"/>
      <c r="N10" s="109"/>
      <c r="O10" s="111"/>
      <c r="P10" s="109"/>
      <c r="Q10" s="111"/>
      <c r="R10" s="109"/>
      <c r="S10" s="112"/>
      <c r="T10" s="109"/>
      <c r="U10" s="112"/>
      <c r="V10" s="109"/>
      <c r="W10" s="111"/>
      <c r="X10" s="109"/>
      <c r="Y10" s="111"/>
      <c r="Z10" s="109"/>
      <c r="AA10" s="112"/>
      <c r="AB10" s="109"/>
      <c r="AC10" s="112"/>
      <c r="AD10" s="109"/>
      <c r="AE10" s="111"/>
      <c r="AF10" s="109"/>
      <c r="AG10" s="111"/>
      <c r="AH10" s="109"/>
      <c r="AI10" s="111"/>
      <c r="AJ10" s="109"/>
      <c r="AK10" s="112"/>
      <c r="AL10" s="109"/>
      <c r="AM10" s="112"/>
      <c r="AN10" s="109"/>
      <c r="AO10" s="111"/>
      <c r="AP10" s="109"/>
      <c r="AQ10" s="113"/>
      <c r="AR10" s="114"/>
    </row>
    <row r="11" spans="1:47" s="98" customFormat="1" ht="18">
      <c r="A11" s="115"/>
      <c r="C11" s="167" t="s">
        <v>60</v>
      </c>
      <c r="D11" s="168">
        <v>0.9</v>
      </c>
      <c r="E11" s="169">
        <f>1-D11</f>
        <v>0.09999999999999998</v>
      </c>
      <c r="F11" s="171">
        <v>0.5</v>
      </c>
      <c r="G11" s="116"/>
      <c r="H11" s="117"/>
      <c r="I11" s="118"/>
      <c r="J11" s="117"/>
      <c r="K11" s="118"/>
      <c r="L11" s="117"/>
      <c r="M11" s="116"/>
      <c r="N11" s="117"/>
      <c r="O11" s="116"/>
      <c r="P11" s="117"/>
      <c r="Q11" s="116"/>
      <c r="R11" s="117"/>
      <c r="S11" s="118"/>
      <c r="T11" s="117"/>
      <c r="U11" s="118"/>
      <c r="V11" s="117"/>
      <c r="W11" s="116"/>
      <c r="X11" s="117"/>
      <c r="Y11" s="116"/>
      <c r="Z11" s="117"/>
      <c r="AA11" s="118"/>
      <c r="AB11" s="117"/>
      <c r="AC11" s="118"/>
      <c r="AD11" s="117"/>
      <c r="AE11" s="116"/>
      <c r="AF11" s="117"/>
      <c r="AG11" s="116"/>
      <c r="AH11" s="117"/>
      <c r="AI11" s="116"/>
      <c r="AJ11" s="117"/>
      <c r="AK11" s="118"/>
      <c r="AL11" s="117"/>
      <c r="AM11" s="118"/>
      <c r="AN11" s="117"/>
      <c r="AO11" s="116"/>
      <c r="AP11" s="117"/>
      <c r="AQ11" s="119"/>
      <c r="AR11" s="120"/>
      <c r="AS11" s="99"/>
      <c r="AT11" s="99"/>
      <c r="AU11" s="99"/>
    </row>
    <row r="12" spans="1:47" s="98" customFormat="1" ht="18.75" thickBot="1">
      <c r="A12" s="115"/>
      <c r="C12" s="172" t="s">
        <v>61</v>
      </c>
      <c r="D12" s="173">
        <v>0.05</v>
      </c>
      <c r="E12" s="174">
        <f>1-D12</f>
        <v>0.95</v>
      </c>
      <c r="F12" s="175">
        <f>1/6</f>
        <v>0.16666666666666666</v>
      </c>
      <c r="G12" s="116"/>
      <c r="H12" s="117"/>
      <c r="I12" s="118"/>
      <c r="J12" s="117"/>
      <c r="K12" s="118"/>
      <c r="L12" s="117"/>
      <c r="M12" s="116"/>
      <c r="N12" s="117"/>
      <c r="O12" s="116"/>
      <c r="P12" s="117"/>
      <c r="Q12" s="116"/>
      <c r="R12" s="117"/>
      <c r="S12" s="118"/>
      <c r="T12" s="117"/>
      <c r="U12" s="118"/>
      <c r="V12" s="117"/>
      <c r="W12" s="116"/>
      <c r="X12" s="117"/>
      <c r="Y12" s="116"/>
      <c r="Z12" s="117"/>
      <c r="AA12" s="118"/>
      <c r="AB12" s="117"/>
      <c r="AC12" s="118"/>
      <c r="AD12" s="117"/>
      <c r="AE12" s="116"/>
      <c r="AF12" s="117"/>
      <c r="AG12" s="116"/>
      <c r="AH12" s="117"/>
      <c r="AI12" s="116"/>
      <c r="AJ12" s="117"/>
      <c r="AK12" s="118"/>
      <c r="AL12" s="117"/>
      <c r="AM12" s="118"/>
      <c r="AN12" s="117"/>
      <c r="AO12" s="116"/>
      <c r="AP12" s="117"/>
      <c r="AQ12" s="119"/>
      <c r="AR12" s="120"/>
      <c r="AS12" s="99"/>
      <c r="AT12" s="99"/>
      <c r="AU12" s="99"/>
    </row>
    <row r="13" spans="1:47" s="98" customFormat="1" ht="24.75">
      <c r="A13" s="115"/>
      <c r="B13" s="115"/>
      <c r="C13" s="115"/>
      <c r="D13" s="115"/>
      <c r="F13" s="115"/>
      <c r="G13" s="116"/>
      <c r="H13" s="117"/>
      <c r="I13" s="118"/>
      <c r="J13" s="117"/>
      <c r="K13" s="118"/>
      <c r="L13" s="117"/>
      <c r="M13" s="116"/>
      <c r="N13" s="117"/>
      <c r="O13" s="90" t="s">
        <v>4</v>
      </c>
      <c r="P13" s="91"/>
      <c r="Q13" s="90"/>
      <c r="R13" s="91"/>
      <c r="S13" s="92"/>
      <c r="T13" s="91"/>
      <c r="U13" s="92"/>
      <c r="V13" s="91"/>
      <c r="W13" s="221" t="s">
        <v>52</v>
      </c>
      <c r="X13" s="222"/>
      <c r="Y13" s="223"/>
      <c r="Z13" s="91"/>
      <c r="AA13" s="92"/>
      <c r="AB13" s="91"/>
      <c r="AC13" s="92"/>
      <c r="AD13" s="91"/>
      <c r="AE13" s="90"/>
      <c r="AF13" s="91"/>
      <c r="AG13" s="90" t="s">
        <v>3</v>
      </c>
      <c r="AH13" s="122"/>
      <c r="AI13" s="121"/>
      <c r="AJ13" s="122"/>
      <c r="AK13" s="123"/>
      <c r="AL13" s="122"/>
      <c r="AM13" s="123"/>
      <c r="AN13" s="117"/>
      <c r="AO13" s="111"/>
      <c r="AP13" s="117"/>
      <c r="AQ13" s="119" t="s">
        <v>24</v>
      </c>
      <c r="AR13" s="120" t="s">
        <v>23</v>
      </c>
      <c r="AS13" s="99"/>
      <c r="AT13" s="99"/>
      <c r="AU13" s="99"/>
    </row>
    <row r="14" spans="1:47" s="98" customFormat="1" ht="15.75">
      <c r="A14" s="115"/>
      <c r="B14" s="115"/>
      <c r="F14" s="115"/>
      <c r="G14" s="116"/>
      <c r="H14" s="117"/>
      <c r="I14" s="118"/>
      <c r="J14" s="117"/>
      <c r="K14" s="118"/>
      <c r="L14" s="117"/>
      <c r="M14" s="116"/>
      <c r="N14" s="117"/>
      <c r="O14" s="116"/>
      <c r="P14" s="117"/>
      <c r="Q14" s="116"/>
      <c r="R14" s="117"/>
      <c r="S14" s="118"/>
      <c r="T14" s="117"/>
      <c r="U14" s="118"/>
      <c r="V14" s="117"/>
      <c r="W14" s="116"/>
      <c r="X14" s="117"/>
      <c r="Y14" s="116"/>
      <c r="Z14" s="117"/>
      <c r="AA14" s="118"/>
      <c r="AB14" s="117"/>
      <c r="AC14" s="118"/>
      <c r="AD14" s="117"/>
      <c r="AE14" s="116"/>
      <c r="AF14" s="117"/>
      <c r="AG14" s="116"/>
      <c r="AH14" s="117"/>
      <c r="AI14" s="116"/>
      <c r="AJ14" s="117"/>
      <c r="AK14" s="118"/>
      <c r="AL14" s="117"/>
      <c r="AM14" s="118"/>
      <c r="AN14" s="117"/>
      <c r="AO14" s="116"/>
      <c r="AP14" s="117"/>
      <c r="AQ14" s="119"/>
      <c r="AR14" s="120"/>
      <c r="AS14" s="99"/>
      <c r="AT14" s="99"/>
      <c r="AU14" s="99"/>
    </row>
    <row r="15" spans="1:47" s="101" customFormat="1" ht="27" customHeight="1">
      <c r="A15" s="124"/>
      <c r="B15" s="124"/>
      <c r="C15" s="115"/>
      <c r="D15" s="161" t="s">
        <v>50</v>
      </c>
      <c r="E15" s="219" t="s">
        <v>51</v>
      </c>
      <c r="F15" s="220"/>
      <c r="G15" s="220"/>
      <c r="H15" s="220"/>
      <c r="I15" s="220"/>
      <c r="J15" s="162"/>
      <c r="K15" s="118"/>
      <c r="L15" s="118"/>
      <c r="M15" s="118"/>
      <c r="N15" s="129" t="s">
        <v>48</v>
      </c>
      <c r="O15" s="131">
        <f>D10</f>
        <v>0.3</v>
      </c>
      <c r="P15" s="129" t="s">
        <v>48</v>
      </c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29" t="s">
        <v>48</v>
      </c>
      <c r="AG15" s="130">
        <f>E10</f>
        <v>0.7</v>
      </c>
      <c r="AH15" s="129" t="s">
        <v>49</v>
      </c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00"/>
      <c r="AT15" s="100"/>
      <c r="AU15" s="100"/>
    </row>
    <row r="16" spans="1:47" s="98" customFormat="1" ht="27" customHeight="1" thickBot="1">
      <c r="A16" s="115"/>
      <c r="B16" s="115"/>
      <c r="C16" s="115"/>
      <c r="D16" s="115"/>
      <c r="E16" s="110"/>
      <c r="F16" s="115"/>
      <c r="G16" s="111"/>
      <c r="H16" s="109"/>
      <c r="I16" s="112"/>
      <c r="J16" s="109"/>
      <c r="K16" s="112"/>
      <c r="L16" s="109"/>
      <c r="M16" s="111"/>
      <c r="N16" s="109"/>
      <c r="O16" s="132"/>
      <c r="P16" s="109"/>
      <c r="Q16" s="111"/>
      <c r="R16" s="109"/>
      <c r="S16" s="112"/>
      <c r="T16" s="109"/>
      <c r="U16" s="112"/>
      <c r="V16" s="109"/>
      <c r="W16" s="111"/>
      <c r="X16" s="117"/>
      <c r="Y16" s="116"/>
      <c r="Z16" s="117"/>
      <c r="AA16" s="118"/>
      <c r="AB16" s="117"/>
      <c r="AC16" s="118"/>
      <c r="AD16" s="117"/>
      <c r="AE16" s="116"/>
      <c r="AF16" s="117"/>
      <c r="AG16" s="125"/>
      <c r="AH16" s="126"/>
      <c r="AI16" s="125"/>
      <c r="AJ16" s="126"/>
      <c r="AK16" s="127"/>
      <c r="AL16" s="126"/>
      <c r="AM16" s="127"/>
      <c r="AN16" s="117"/>
      <c r="AO16" s="111"/>
      <c r="AP16" s="117"/>
      <c r="AQ16" s="119"/>
      <c r="AR16" s="120"/>
      <c r="AS16" s="99"/>
      <c r="AT16" s="99"/>
      <c r="AU16" s="99"/>
    </row>
    <row r="17" spans="1:46" s="155" customFormat="1" ht="27" customHeight="1" thickBot="1">
      <c r="A17" s="133"/>
      <c r="B17" s="133"/>
      <c r="C17" s="133"/>
      <c r="D17" s="128">
        <v>1</v>
      </c>
      <c r="E17" s="159">
        <f>MID($E$15,D17,1)+0</f>
        <v>1</v>
      </c>
      <c r="F17" s="133"/>
      <c r="G17" s="134">
        <f>O15</f>
        <v>0.3</v>
      </c>
      <c r="H17" s="135"/>
      <c r="I17" s="136"/>
      <c r="J17" s="137" t="s">
        <v>58</v>
      </c>
      <c r="K17" s="138">
        <f>IF($E17=6,$F$11,(1-$F$11)/5)</f>
        <v>0.1</v>
      </c>
      <c r="L17" s="139" t="s">
        <v>46</v>
      </c>
      <c r="M17" s="140"/>
      <c r="N17" s="135"/>
      <c r="O17" s="141">
        <f>G17*K17</f>
        <v>0.03</v>
      </c>
      <c r="P17" s="142"/>
      <c r="Q17" s="143"/>
      <c r="R17" s="142"/>
      <c r="S17" s="144"/>
      <c r="T17" s="142"/>
      <c r="U17" s="144"/>
      <c r="V17" s="135"/>
      <c r="W17" s="145"/>
      <c r="X17" s="146"/>
      <c r="Y17" s="147"/>
      <c r="Z17" s="148"/>
      <c r="AA17" s="138"/>
      <c r="AB17" s="148"/>
      <c r="AC17" s="138"/>
      <c r="AD17" s="148"/>
      <c r="AE17" s="149"/>
      <c r="AF17" s="135"/>
      <c r="AG17" s="141">
        <f>AO17*AK17</f>
        <v>0.11666666666666667</v>
      </c>
      <c r="AH17" s="142"/>
      <c r="AI17" s="150"/>
      <c r="AJ17" s="139" t="s">
        <v>47</v>
      </c>
      <c r="AK17" s="136">
        <f>IF($E17=6,$F$12,(1-$F$12)/5)</f>
        <v>0.16666666666666669</v>
      </c>
      <c r="AL17" s="137" t="s">
        <v>58</v>
      </c>
      <c r="AM17" s="144"/>
      <c r="AN17" s="137"/>
      <c r="AO17" s="151">
        <f>AG15</f>
        <v>0.7</v>
      </c>
      <c r="AP17" s="122"/>
      <c r="AQ17" s="152" t="b">
        <f>IF(ISBLANK(AQ19),O17&gt;AG17,IF(AQ19,M19=O19,AG19=AE19))</f>
        <v>0</v>
      </c>
      <c r="AR17" s="153">
        <f>AG17/O17</f>
        <v>3.8888888888888893</v>
      </c>
      <c r="AS17" s="154"/>
      <c r="AT17" s="154"/>
    </row>
    <row r="18" spans="1:44" s="155" customFormat="1" ht="27" customHeight="1" thickBot="1">
      <c r="A18" s="156"/>
      <c r="B18" s="156"/>
      <c r="C18" s="156"/>
      <c r="D18" s="108"/>
      <c r="E18" s="160"/>
      <c r="F18" s="156"/>
      <c r="G18" s="156"/>
      <c r="H18" s="156"/>
      <c r="I18" s="156"/>
      <c r="J18" s="156"/>
      <c r="K18" s="156"/>
      <c r="L18" s="156"/>
      <c r="M18" s="156"/>
      <c r="N18" s="156"/>
      <c r="O18" s="157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7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s="155" customFormat="1" ht="27" customHeight="1" thickBot="1">
      <c r="A19" s="156"/>
      <c r="B19" s="156"/>
      <c r="C19" s="156"/>
      <c r="D19" s="108">
        <f>D17+1</f>
        <v>2</v>
      </c>
      <c r="E19" s="159">
        <f>MID($E$15,D19,1)+0</f>
        <v>1</v>
      </c>
      <c r="F19" s="133"/>
      <c r="G19" s="134">
        <f>O17</f>
        <v>0.03</v>
      </c>
      <c r="H19" s="135" t="s">
        <v>58</v>
      </c>
      <c r="I19" s="136">
        <f>$D$11</f>
        <v>0.9</v>
      </c>
      <c r="J19" s="137" t="s">
        <v>58</v>
      </c>
      <c r="K19" s="138">
        <f>IF($E19=6,$F$11,(1-$F$11)/5)</f>
        <v>0.1</v>
      </c>
      <c r="L19" s="139" t="s">
        <v>46</v>
      </c>
      <c r="M19" s="140">
        <f>G19*I19*K19</f>
        <v>0.0027</v>
      </c>
      <c r="N19" s="135"/>
      <c r="O19" s="141">
        <f>SUM(M19,Q19)</f>
        <v>0.0032833333333333334</v>
      </c>
      <c r="P19" s="142"/>
      <c r="Q19" s="143">
        <f>W19*U19*S19</f>
        <v>0.0005833333333333334</v>
      </c>
      <c r="R19" s="142" t="s">
        <v>47</v>
      </c>
      <c r="S19" s="144">
        <f>IF($E19=6,$F$11,(1-$F$11)/5)</f>
        <v>0.1</v>
      </c>
      <c r="T19" s="142" t="s">
        <v>58</v>
      </c>
      <c r="U19" s="144">
        <f>$D$12</f>
        <v>0.05</v>
      </c>
      <c r="V19" s="135" t="s">
        <v>58</v>
      </c>
      <c r="W19" s="145">
        <f>AG17</f>
        <v>0.11666666666666667</v>
      </c>
      <c r="X19" s="122"/>
      <c r="Y19" s="147">
        <f>O17</f>
        <v>0.03</v>
      </c>
      <c r="Z19" s="148" t="s">
        <v>58</v>
      </c>
      <c r="AA19" s="138">
        <f>$E$11</f>
        <v>0.09999999999999998</v>
      </c>
      <c r="AB19" s="148" t="s">
        <v>58</v>
      </c>
      <c r="AC19" s="138">
        <f>IF($E19=6,$F$12,(1-$F$12)/5)</f>
        <v>0.16666666666666669</v>
      </c>
      <c r="AD19" s="148" t="s">
        <v>46</v>
      </c>
      <c r="AE19" s="149">
        <f>Y19*AA19*AC19</f>
        <v>0.0004999999999999999</v>
      </c>
      <c r="AF19" s="135"/>
      <c r="AG19" s="141">
        <f>SUM(AE19,AI19)</f>
        <v>0.018972222222222224</v>
      </c>
      <c r="AH19" s="142"/>
      <c r="AI19" s="150">
        <f>AO19*AM19*AK19</f>
        <v>0.018472222222222223</v>
      </c>
      <c r="AJ19" s="139" t="s">
        <v>47</v>
      </c>
      <c r="AK19" s="136">
        <f>IF($E19=6,$F$12,(1-$F$12)/5)</f>
        <v>0.16666666666666669</v>
      </c>
      <c r="AL19" s="137" t="s">
        <v>58</v>
      </c>
      <c r="AM19" s="144">
        <f>$E$12</f>
        <v>0.95</v>
      </c>
      <c r="AN19" s="137" t="s">
        <v>58</v>
      </c>
      <c r="AO19" s="151">
        <f>AG17</f>
        <v>0.11666666666666667</v>
      </c>
      <c r="AP19" s="158"/>
      <c r="AQ19" s="152" t="b">
        <f>IF(ISBLANK(AQ21),O19&gt;AG19,IF(AQ21,M21=O21,AG21=AE21))</f>
        <v>0</v>
      </c>
      <c r="AR19" s="153">
        <f>AG19/O19</f>
        <v>5.77834179357022</v>
      </c>
    </row>
    <row r="20" spans="1:44" s="155" customFormat="1" ht="27" customHeight="1" thickBot="1">
      <c r="A20" s="156"/>
      <c r="B20" s="156"/>
      <c r="C20" s="156"/>
      <c r="D20" s="108"/>
      <c r="E20" s="160"/>
      <c r="F20" s="156"/>
      <c r="G20" s="156"/>
      <c r="H20" s="156"/>
      <c r="I20" s="156"/>
      <c r="J20" s="156"/>
      <c r="K20" s="156"/>
      <c r="L20" s="156"/>
      <c r="M20" s="156"/>
      <c r="N20" s="156"/>
      <c r="O20" s="157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7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</row>
    <row r="21" spans="1:44" s="155" customFormat="1" ht="27" customHeight="1" thickBot="1">
      <c r="A21" s="156"/>
      <c r="B21" s="156"/>
      <c r="C21" s="156"/>
      <c r="D21" s="108">
        <f>D19+1</f>
        <v>3</v>
      </c>
      <c r="E21" s="159">
        <f>MID($E$15,D21,1)+0</f>
        <v>1</v>
      </c>
      <c r="F21" s="156"/>
      <c r="G21" s="134">
        <f>O19</f>
        <v>0.0032833333333333334</v>
      </c>
      <c r="H21" s="135" t="s">
        <v>58</v>
      </c>
      <c r="I21" s="136">
        <f>$D$11</f>
        <v>0.9</v>
      </c>
      <c r="J21" s="137" t="s">
        <v>58</v>
      </c>
      <c r="K21" s="138">
        <f>IF($E21=6,$F$11,(1-$F$11)/5)</f>
        <v>0.1</v>
      </c>
      <c r="L21" s="139" t="s">
        <v>46</v>
      </c>
      <c r="M21" s="140">
        <f>G21*I21*K21</f>
        <v>0.0002955</v>
      </c>
      <c r="N21" s="135"/>
      <c r="O21" s="141">
        <f>SUM(M21,Q21)</f>
        <v>0.0003903611111111112</v>
      </c>
      <c r="P21" s="142"/>
      <c r="Q21" s="143">
        <f>W21*U21*S21</f>
        <v>9.486111111111113E-05</v>
      </c>
      <c r="R21" s="142" t="s">
        <v>47</v>
      </c>
      <c r="S21" s="144">
        <f>IF($E21=6,$F$11,(1-$F$11)/5)</f>
        <v>0.1</v>
      </c>
      <c r="T21" s="142" t="s">
        <v>58</v>
      </c>
      <c r="U21" s="144">
        <f>$D$12</f>
        <v>0.05</v>
      </c>
      <c r="V21" s="135" t="s">
        <v>58</v>
      </c>
      <c r="W21" s="145">
        <f>AG19</f>
        <v>0.018972222222222224</v>
      </c>
      <c r="X21" s="122"/>
      <c r="Y21" s="147">
        <f>O19</f>
        <v>0.0032833333333333334</v>
      </c>
      <c r="Z21" s="148" t="s">
        <v>58</v>
      </c>
      <c r="AA21" s="138">
        <f>$E$11</f>
        <v>0.09999999999999998</v>
      </c>
      <c r="AB21" s="148" t="s">
        <v>58</v>
      </c>
      <c r="AC21" s="138">
        <f>IF($E21=6,$F$12,(1-$F$12)/5)</f>
        <v>0.16666666666666669</v>
      </c>
      <c r="AD21" s="148" t="s">
        <v>46</v>
      </c>
      <c r="AE21" s="149">
        <f>Y21*AA21*AC21</f>
        <v>5.4722222222222214E-05</v>
      </c>
      <c r="AF21" s="135"/>
      <c r="AG21" s="141">
        <f>SUM(AE21,AI21)</f>
        <v>0.0030586574074074075</v>
      </c>
      <c r="AH21" s="142"/>
      <c r="AI21" s="150">
        <f>AO21*AM21*AK21</f>
        <v>0.0030039351851851854</v>
      </c>
      <c r="AJ21" s="139" t="s">
        <v>47</v>
      </c>
      <c r="AK21" s="136">
        <f>IF($E21=6,$F$12,(1-$F$12)/5)</f>
        <v>0.16666666666666669</v>
      </c>
      <c r="AL21" s="137" t="s">
        <v>58</v>
      </c>
      <c r="AM21" s="144">
        <f>$E$12</f>
        <v>0.95</v>
      </c>
      <c r="AN21" s="137" t="s">
        <v>58</v>
      </c>
      <c r="AO21" s="151">
        <f>AG19</f>
        <v>0.018972222222222224</v>
      </c>
      <c r="AP21" s="158"/>
      <c r="AQ21" s="152" t="b">
        <f>IF(ISBLANK(AQ23),O21&gt;AG21,IF(AQ23,M23=O23,AG23=AE23))</f>
        <v>0</v>
      </c>
      <c r="AR21" s="153">
        <f>AG21/O21</f>
        <v>7.83545624896226</v>
      </c>
    </row>
    <row r="22" spans="1:44" s="155" customFormat="1" ht="27" customHeight="1" thickBot="1">
      <c r="A22" s="156"/>
      <c r="B22" s="156"/>
      <c r="C22" s="156"/>
      <c r="D22" s="108"/>
      <c r="E22" s="160"/>
      <c r="F22" s="156"/>
      <c r="G22" s="156"/>
      <c r="H22" s="156"/>
      <c r="I22" s="156"/>
      <c r="J22" s="156"/>
      <c r="K22" s="156"/>
      <c r="L22" s="156"/>
      <c r="M22" s="156"/>
      <c r="N22" s="156"/>
      <c r="O22" s="157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7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</row>
    <row r="23" spans="1:44" s="155" customFormat="1" ht="27" customHeight="1" thickBot="1">
      <c r="A23" s="156"/>
      <c r="B23" s="156"/>
      <c r="C23" s="156"/>
      <c r="D23" s="108">
        <f>D21+1</f>
        <v>4</v>
      </c>
      <c r="E23" s="159">
        <f>MID($E$15,D23,1)+0</f>
        <v>1</v>
      </c>
      <c r="F23" s="156"/>
      <c r="G23" s="134">
        <f>O21</f>
        <v>0.0003903611111111112</v>
      </c>
      <c r="H23" s="135" t="s">
        <v>58</v>
      </c>
      <c r="I23" s="136">
        <f>$D$11</f>
        <v>0.9</v>
      </c>
      <c r="J23" s="137" t="s">
        <v>58</v>
      </c>
      <c r="K23" s="138">
        <f>IF($E23=6,$F$11,(1-$F$11)/5)</f>
        <v>0.1</v>
      </c>
      <c r="L23" s="139" t="s">
        <v>46</v>
      </c>
      <c r="M23" s="140">
        <f>G23*I23*K23</f>
        <v>3.513250000000001E-05</v>
      </c>
      <c r="N23" s="135"/>
      <c r="O23" s="141">
        <f>SUM(M23,Q23)</f>
        <v>5.042578703703705E-05</v>
      </c>
      <c r="P23" s="142"/>
      <c r="Q23" s="143">
        <f>W23*U23*S23</f>
        <v>1.529328703703704E-05</v>
      </c>
      <c r="R23" s="142" t="s">
        <v>47</v>
      </c>
      <c r="S23" s="144">
        <f>IF($E23=6,$F$11,(1-$F$11)/5)</f>
        <v>0.1</v>
      </c>
      <c r="T23" s="142" t="s">
        <v>58</v>
      </c>
      <c r="U23" s="144">
        <f>$D$12</f>
        <v>0.05</v>
      </c>
      <c r="V23" s="135" t="s">
        <v>58</v>
      </c>
      <c r="W23" s="145">
        <f>AG21</f>
        <v>0.0030586574074074075</v>
      </c>
      <c r="X23" s="122"/>
      <c r="Y23" s="147">
        <f>O21</f>
        <v>0.0003903611111111112</v>
      </c>
      <c r="Z23" s="148" t="s">
        <v>58</v>
      </c>
      <c r="AA23" s="138">
        <f>$E$11</f>
        <v>0.09999999999999998</v>
      </c>
      <c r="AB23" s="148" t="s">
        <v>58</v>
      </c>
      <c r="AC23" s="138">
        <f>IF($E23=6,$F$12,(1-$F$12)/5)</f>
        <v>0.16666666666666669</v>
      </c>
      <c r="AD23" s="148" t="s">
        <v>46</v>
      </c>
      <c r="AE23" s="149">
        <f>Y23*AA23*AC23</f>
        <v>6.506018518518519E-06</v>
      </c>
      <c r="AF23" s="135"/>
      <c r="AG23" s="141">
        <f>SUM(AE23,AI23)</f>
        <v>0.0004907934413580248</v>
      </c>
      <c r="AH23" s="142"/>
      <c r="AI23" s="150">
        <f>AO23*AM23*AK23</f>
        <v>0.0004842874228395062</v>
      </c>
      <c r="AJ23" s="139" t="s">
        <v>47</v>
      </c>
      <c r="AK23" s="136">
        <f>IF($E23=6,$F$12,(1-$F$12)/5)</f>
        <v>0.16666666666666669</v>
      </c>
      <c r="AL23" s="137" t="s">
        <v>58</v>
      </c>
      <c r="AM23" s="144">
        <f>$E$12</f>
        <v>0.95</v>
      </c>
      <c r="AN23" s="137" t="s">
        <v>58</v>
      </c>
      <c r="AO23" s="151">
        <f>AG21</f>
        <v>0.0030586574074074075</v>
      </c>
      <c r="AP23" s="158"/>
      <c r="AQ23" s="152" t="b">
        <f>IF(ISBLANK(AQ25),O23&gt;AG23,IF(AQ25,M25=O25,AG25=AE25))</f>
        <v>0</v>
      </c>
      <c r="AR23" s="153">
        <f>AG23/O23</f>
        <v>9.732985248153762</v>
      </c>
    </row>
    <row r="24" spans="1:44" s="155" customFormat="1" ht="27" customHeight="1" thickBot="1">
      <c r="A24" s="156"/>
      <c r="B24" s="156"/>
      <c r="C24" s="156"/>
      <c r="D24" s="108"/>
      <c r="E24" s="160"/>
      <c r="F24" s="156"/>
      <c r="G24" s="156"/>
      <c r="H24" s="156"/>
      <c r="I24" s="156"/>
      <c r="J24" s="156"/>
      <c r="K24" s="156"/>
      <c r="L24" s="156"/>
      <c r="M24" s="156"/>
      <c r="N24" s="156"/>
      <c r="O24" s="157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7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</row>
    <row r="25" spans="1:44" s="155" customFormat="1" ht="27" customHeight="1" thickBot="1">
      <c r="A25" s="156"/>
      <c r="B25" s="156"/>
      <c r="C25" s="156"/>
      <c r="D25" s="108">
        <f>D23+1</f>
        <v>5</v>
      </c>
      <c r="E25" s="159">
        <f>MID($E$15,D25,1)+0</f>
        <v>1</v>
      </c>
      <c r="F25" s="156"/>
      <c r="G25" s="134">
        <f>O23</f>
        <v>5.042578703703705E-05</v>
      </c>
      <c r="H25" s="135" t="s">
        <v>58</v>
      </c>
      <c r="I25" s="136">
        <f>$D$11</f>
        <v>0.9</v>
      </c>
      <c r="J25" s="137" t="s">
        <v>58</v>
      </c>
      <c r="K25" s="138">
        <f>IF($E25=6,$F$11,(1-$F$11)/5)</f>
        <v>0.1</v>
      </c>
      <c r="L25" s="139" t="s">
        <v>46</v>
      </c>
      <c r="M25" s="140">
        <f>G25*I25*K25</f>
        <v>4.538320833333335E-06</v>
      </c>
      <c r="N25" s="135"/>
      <c r="O25" s="141">
        <f>SUM(M25,Q25)</f>
        <v>6.992288040123459E-06</v>
      </c>
      <c r="P25" s="142"/>
      <c r="Q25" s="143">
        <f>W25*U25*S25</f>
        <v>2.453967206790124E-06</v>
      </c>
      <c r="R25" s="142" t="s">
        <v>47</v>
      </c>
      <c r="S25" s="144">
        <f>IF($E25=6,$F$11,(1-$F$11)/5)</f>
        <v>0.1</v>
      </c>
      <c r="T25" s="142" t="s">
        <v>58</v>
      </c>
      <c r="U25" s="144">
        <f>$D$12</f>
        <v>0.05</v>
      </c>
      <c r="V25" s="135" t="s">
        <v>58</v>
      </c>
      <c r="W25" s="145">
        <f>AG23</f>
        <v>0.0004907934413580248</v>
      </c>
      <c r="X25" s="122"/>
      <c r="Y25" s="147">
        <f>O23</f>
        <v>5.042578703703705E-05</v>
      </c>
      <c r="Z25" s="148" t="s">
        <v>58</v>
      </c>
      <c r="AA25" s="138">
        <f>$E$11</f>
        <v>0.09999999999999998</v>
      </c>
      <c r="AB25" s="148" t="s">
        <v>58</v>
      </c>
      <c r="AC25" s="138">
        <f>IF($E25=6,$F$12,(1-$F$12)/5)</f>
        <v>0.16666666666666669</v>
      </c>
      <c r="AD25" s="148" t="s">
        <v>46</v>
      </c>
      <c r="AE25" s="149">
        <f>Y25*AA25*AC25</f>
        <v>8.404297839506174E-07</v>
      </c>
      <c r="AF25" s="135"/>
      <c r="AG25" s="141">
        <f>SUM(AE25,AI25)</f>
        <v>7.854939133230454E-05</v>
      </c>
      <c r="AH25" s="142"/>
      <c r="AI25" s="150">
        <f>AO25*AM25*AK25</f>
        <v>7.770896154835393E-05</v>
      </c>
      <c r="AJ25" s="139" t="s">
        <v>47</v>
      </c>
      <c r="AK25" s="136">
        <f>IF($E25=6,$F$12,(1-$F$12)/5)</f>
        <v>0.16666666666666669</v>
      </c>
      <c r="AL25" s="137" t="s">
        <v>58</v>
      </c>
      <c r="AM25" s="144">
        <f>$E$12</f>
        <v>0.95</v>
      </c>
      <c r="AN25" s="137" t="s">
        <v>58</v>
      </c>
      <c r="AO25" s="151">
        <f>AG23</f>
        <v>0.0004907934413580248</v>
      </c>
      <c r="AP25" s="158"/>
      <c r="AQ25" s="152" t="b">
        <f>IF(ISBLANK(AQ27),O25&gt;AG25,IF(AQ27,M27=O27,AG27=AE27))</f>
        <v>0</v>
      </c>
      <c r="AR25" s="153">
        <f>AG25/O25</f>
        <v>11.233717902004168</v>
      </c>
    </row>
    <row r="26" spans="1:44" s="155" customFormat="1" ht="27" customHeight="1" thickBot="1">
      <c r="A26" s="156"/>
      <c r="B26" s="156"/>
      <c r="C26" s="156"/>
      <c r="D26" s="108"/>
      <c r="E26" s="160"/>
      <c r="F26" s="156"/>
      <c r="G26" s="156"/>
      <c r="H26" s="156"/>
      <c r="I26" s="156"/>
      <c r="J26" s="156"/>
      <c r="K26" s="156"/>
      <c r="L26" s="156"/>
      <c r="M26" s="156"/>
      <c r="N26" s="156"/>
      <c r="O26" s="157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7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</row>
    <row r="27" spans="1:44" s="155" customFormat="1" ht="27" customHeight="1" thickBot="1">
      <c r="A27" s="156"/>
      <c r="B27" s="156"/>
      <c r="C27" s="156"/>
      <c r="D27" s="108">
        <f>D25+1</f>
        <v>6</v>
      </c>
      <c r="E27" s="159">
        <f>MID($E$15,D27,1)+0</f>
        <v>6</v>
      </c>
      <c r="F27" s="156"/>
      <c r="G27" s="134">
        <f>O25</f>
        <v>6.992288040123459E-06</v>
      </c>
      <c r="H27" s="135" t="s">
        <v>58</v>
      </c>
      <c r="I27" s="136">
        <f>$D$11</f>
        <v>0.9</v>
      </c>
      <c r="J27" s="137" t="s">
        <v>58</v>
      </c>
      <c r="K27" s="138">
        <f>IF($E27=6,$F$11,(1-$F$11)/5)</f>
        <v>0.5</v>
      </c>
      <c r="L27" s="139" t="s">
        <v>46</v>
      </c>
      <c r="M27" s="140">
        <f>G27*I27*K27</f>
        <v>3.146529618055557E-06</v>
      </c>
      <c r="N27" s="135"/>
      <c r="O27" s="141">
        <f>SUM(M27,Q27)</f>
        <v>5.11026440136317E-06</v>
      </c>
      <c r="P27" s="142"/>
      <c r="Q27" s="143">
        <f>W27*U27*S27</f>
        <v>1.9637347833076136E-06</v>
      </c>
      <c r="R27" s="142" t="s">
        <v>47</v>
      </c>
      <c r="S27" s="144">
        <f>IF($E27=6,$F$11,(1-$F$11)/5)</f>
        <v>0.5</v>
      </c>
      <c r="T27" s="142" t="s">
        <v>58</v>
      </c>
      <c r="U27" s="144">
        <f>$D$12</f>
        <v>0.05</v>
      </c>
      <c r="V27" s="135" t="s">
        <v>58</v>
      </c>
      <c r="W27" s="145">
        <f>AG25</f>
        <v>7.854939133230454E-05</v>
      </c>
      <c r="X27" s="122"/>
      <c r="Y27" s="147">
        <f>O25</f>
        <v>6.992288040123459E-06</v>
      </c>
      <c r="Z27" s="148" t="s">
        <v>58</v>
      </c>
      <c r="AA27" s="138">
        <f>$E$11</f>
        <v>0.09999999999999998</v>
      </c>
      <c r="AB27" s="148" t="s">
        <v>58</v>
      </c>
      <c r="AC27" s="138">
        <f>IF($E27=6,$F$12,(1-$F$12)/5)</f>
        <v>0.16666666666666666</v>
      </c>
      <c r="AD27" s="148" t="s">
        <v>46</v>
      </c>
      <c r="AE27" s="149">
        <f>Y27*AA27*AC27</f>
        <v>1.1653813400205762E-07</v>
      </c>
      <c r="AF27" s="135"/>
      <c r="AG27" s="141">
        <f>SUM(AE27,AI27)</f>
        <v>1.2553525094950275E-05</v>
      </c>
      <c r="AH27" s="142"/>
      <c r="AI27" s="150">
        <f>AO27*AM27*AK27</f>
        <v>1.2436986960948218E-05</v>
      </c>
      <c r="AJ27" s="139" t="s">
        <v>47</v>
      </c>
      <c r="AK27" s="136">
        <f>IF($E27=6,$F$12,(1-$F$12)/5)</f>
        <v>0.16666666666666666</v>
      </c>
      <c r="AL27" s="137" t="s">
        <v>58</v>
      </c>
      <c r="AM27" s="144">
        <f>$E$12</f>
        <v>0.95</v>
      </c>
      <c r="AN27" s="137" t="s">
        <v>58</v>
      </c>
      <c r="AO27" s="151">
        <f>AG25</f>
        <v>7.854939133230454E-05</v>
      </c>
      <c r="AP27" s="158"/>
      <c r="AQ27" s="152" t="b">
        <f>IF(ISBLANK(AQ29),O27&gt;AG27,IF(AQ29,M29=O29,AG29=AE29))</f>
        <v>0</v>
      </c>
      <c r="AR27" s="153">
        <f>AG27/O27</f>
        <v>2.4565314255758675</v>
      </c>
    </row>
    <row r="28" spans="1:44" s="155" customFormat="1" ht="27" customHeight="1" thickBot="1">
      <c r="A28" s="156"/>
      <c r="B28" s="156"/>
      <c r="C28" s="156"/>
      <c r="D28" s="108"/>
      <c r="E28" s="160"/>
      <c r="F28" s="156"/>
      <c r="G28" s="156"/>
      <c r="H28" s="156"/>
      <c r="I28" s="156"/>
      <c r="J28" s="156"/>
      <c r="K28" s="156"/>
      <c r="L28" s="156"/>
      <c r="M28" s="156"/>
      <c r="N28" s="156"/>
      <c r="O28" s="157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7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</row>
    <row r="29" spans="1:44" s="155" customFormat="1" ht="27" customHeight="1" thickBot="1">
      <c r="A29" s="156"/>
      <c r="B29" s="156"/>
      <c r="C29" s="156"/>
      <c r="D29" s="108">
        <f>D27+1</f>
        <v>7</v>
      </c>
      <c r="E29" s="159">
        <f>MID($E$15,D29,1)+0</f>
        <v>6</v>
      </c>
      <c r="F29" s="156"/>
      <c r="G29" s="134">
        <f>O27</f>
        <v>5.11026440136317E-06</v>
      </c>
      <c r="H29" s="135" t="s">
        <v>58</v>
      </c>
      <c r="I29" s="136">
        <f>$D$11</f>
        <v>0.9</v>
      </c>
      <c r="J29" s="137" t="s">
        <v>58</v>
      </c>
      <c r="K29" s="138">
        <f>IF($E29=6,$F$11,(1-$F$11)/5)</f>
        <v>0.5</v>
      </c>
      <c r="L29" s="139" t="s">
        <v>46</v>
      </c>
      <c r="M29" s="140">
        <f aca="true" t="shared" si="0" ref="M29:M35">G29*I29*K29</f>
        <v>2.2996189806134266E-06</v>
      </c>
      <c r="N29" s="135"/>
      <c r="O29" s="141">
        <f>SUM(M29,Q29)</f>
        <v>2.6134571079871834E-06</v>
      </c>
      <c r="P29" s="142"/>
      <c r="Q29" s="143">
        <f aca="true" t="shared" si="1" ref="Q29:Q35">W29*U29*S29</f>
        <v>3.138381273737569E-07</v>
      </c>
      <c r="R29" s="142" t="s">
        <v>47</v>
      </c>
      <c r="S29" s="144">
        <f>IF($E29=6,$F$11,(1-$F$11)/5)</f>
        <v>0.5</v>
      </c>
      <c r="T29" s="142" t="s">
        <v>58</v>
      </c>
      <c r="U29" s="144">
        <f>$D$12</f>
        <v>0.05</v>
      </c>
      <c r="V29" s="135" t="s">
        <v>58</v>
      </c>
      <c r="W29" s="145">
        <f>AG27</f>
        <v>1.2553525094950275E-05</v>
      </c>
      <c r="X29" s="122"/>
      <c r="Y29" s="147">
        <f>O27</f>
        <v>5.11026440136317E-06</v>
      </c>
      <c r="Z29" s="148" t="s">
        <v>58</v>
      </c>
      <c r="AA29" s="138">
        <f>$E$11</f>
        <v>0.09999999999999998</v>
      </c>
      <c r="AB29" s="148" t="s">
        <v>58</v>
      </c>
      <c r="AC29" s="138">
        <f>IF($E29=6,$F$12,(1-$F$12)/5)</f>
        <v>0.16666666666666666</v>
      </c>
      <c r="AD29" s="148" t="s">
        <v>46</v>
      </c>
      <c r="AE29" s="149">
        <f aca="true" t="shared" si="2" ref="AE29:AE35">Y29*AA29*AC29</f>
        <v>8.517107335605283E-08</v>
      </c>
      <c r="AF29" s="135"/>
      <c r="AG29" s="141">
        <f>SUM(AE29,AI29)</f>
        <v>2.0728125467231796E-06</v>
      </c>
      <c r="AH29" s="142"/>
      <c r="AI29" s="150">
        <f aca="true" t="shared" si="3" ref="AI29:AI35">AO29*AM29*AK29</f>
        <v>1.9876414733671268E-06</v>
      </c>
      <c r="AJ29" s="139" t="s">
        <v>47</v>
      </c>
      <c r="AK29" s="136">
        <f>IF($E29=6,$F$12,(1-$F$12)/5)</f>
        <v>0.16666666666666666</v>
      </c>
      <c r="AL29" s="137" t="s">
        <v>58</v>
      </c>
      <c r="AM29" s="144">
        <f>$E$12</f>
        <v>0.95</v>
      </c>
      <c r="AN29" s="137" t="s">
        <v>58</v>
      </c>
      <c r="AO29" s="151">
        <f>AG27</f>
        <v>1.2553525094950275E-05</v>
      </c>
      <c r="AP29" s="158"/>
      <c r="AQ29" s="152" t="b">
        <f>IF(ISBLANK(AQ31),O29&gt;AG29,IF(AQ31,M31=O31,AG31=AE31))</f>
        <v>0</v>
      </c>
      <c r="AR29" s="153">
        <f aca="true" t="shared" si="4" ref="AR29:AR35">AG29/O29</f>
        <v>0.7931305015063385</v>
      </c>
    </row>
    <row r="30" spans="1:44" s="155" customFormat="1" ht="27" customHeight="1" thickBot="1">
      <c r="A30" s="156"/>
      <c r="B30" s="156"/>
      <c r="C30" s="156"/>
      <c r="D30" s="108"/>
      <c r="E30" s="160"/>
      <c r="F30" s="156"/>
      <c r="G30" s="156"/>
      <c r="H30" s="156"/>
      <c r="I30" s="156"/>
      <c r="J30" s="156"/>
      <c r="K30" s="156"/>
      <c r="L30" s="156"/>
      <c r="M30" s="156"/>
      <c r="N30" s="156"/>
      <c r="O30" s="157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7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</row>
    <row r="31" spans="1:44" s="155" customFormat="1" ht="27" customHeight="1" thickBot="1">
      <c r="A31" s="156"/>
      <c r="B31" s="156"/>
      <c r="C31" s="156"/>
      <c r="D31" s="108">
        <f>D29+1</f>
        <v>8</v>
      </c>
      <c r="E31" s="159">
        <f>MID($E$15,D31,1)+0</f>
        <v>6</v>
      </c>
      <c r="F31" s="156"/>
      <c r="G31" s="134">
        <f>O29</f>
        <v>2.6134571079871834E-06</v>
      </c>
      <c r="H31" s="135" t="s">
        <v>58</v>
      </c>
      <c r="I31" s="136">
        <f>$D$11</f>
        <v>0.9</v>
      </c>
      <c r="J31" s="137" t="s">
        <v>58</v>
      </c>
      <c r="K31" s="138">
        <f>IF($E31=6,$F$11,(1-$F$11)/5)</f>
        <v>0.5</v>
      </c>
      <c r="L31" s="139" t="s">
        <v>46</v>
      </c>
      <c r="M31" s="140">
        <f t="shared" si="0"/>
        <v>1.1760556985942327E-06</v>
      </c>
      <c r="N31" s="135"/>
      <c r="O31" s="141">
        <f>SUM(M31,Q31)</f>
        <v>1.227876012262312E-06</v>
      </c>
      <c r="P31" s="142"/>
      <c r="Q31" s="143">
        <f t="shared" si="1"/>
        <v>5.1820313668079496E-08</v>
      </c>
      <c r="R31" s="142" t="s">
        <v>47</v>
      </c>
      <c r="S31" s="144">
        <f>IF($E31=6,$F$11,(1-$F$11)/5)</f>
        <v>0.5</v>
      </c>
      <c r="T31" s="142" t="s">
        <v>58</v>
      </c>
      <c r="U31" s="144">
        <f>$D$12</f>
        <v>0.05</v>
      </c>
      <c r="V31" s="135" t="s">
        <v>58</v>
      </c>
      <c r="W31" s="145">
        <f>AG29</f>
        <v>2.0728125467231796E-06</v>
      </c>
      <c r="X31" s="122"/>
      <c r="Y31" s="147">
        <f>O29</f>
        <v>2.6134571079871834E-06</v>
      </c>
      <c r="Z31" s="148" t="s">
        <v>58</v>
      </c>
      <c r="AA31" s="138">
        <f>$E$11</f>
        <v>0.09999999999999998</v>
      </c>
      <c r="AB31" s="148" t="s">
        <v>58</v>
      </c>
      <c r="AC31" s="138">
        <f>IF($E31=6,$F$12,(1-$F$12)/5)</f>
        <v>0.16666666666666666</v>
      </c>
      <c r="AD31" s="148" t="s">
        <v>46</v>
      </c>
      <c r="AE31" s="149">
        <f t="shared" si="2"/>
        <v>4.3557618466453046E-08</v>
      </c>
      <c r="AF31" s="135"/>
      <c r="AG31" s="141">
        <f>SUM(AE31,AI31)</f>
        <v>3.7175293836428975E-07</v>
      </c>
      <c r="AH31" s="142"/>
      <c r="AI31" s="150">
        <f t="shared" si="3"/>
        <v>3.281953198978367E-07</v>
      </c>
      <c r="AJ31" s="139" t="s">
        <v>47</v>
      </c>
      <c r="AK31" s="136">
        <f>IF($E31=6,$F$12,(1-$F$12)/5)</f>
        <v>0.16666666666666666</v>
      </c>
      <c r="AL31" s="137" t="s">
        <v>58</v>
      </c>
      <c r="AM31" s="144">
        <f>$E$12</f>
        <v>0.95</v>
      </c>
      <c r="AN31" s="137" t="s">
        <v>58</v>
      </c>
      <c r="AO31" s="151">
        <f>AG29</f>
        <v>2.0728125467231796E-06</v>
      </c>
      <c r="AP31" s="158"/>
      <c r="AQ31" s="152" t="b">
        <f>IF(ISBLANK(AQ33),O31&gt;AG31,IF(AQ33,M33=O33,AG33=AE33))</f>
        <v>0</v>
      </c>
      <c r="AR31" s="153">
        <f t="shared" si="4"/>
        <v>0.30276097476597</v>
      </c>
    </row>
    <row r="32" spans="1:44" s="155" customFormat="1" ht="27" customHeight="1" thickBot="1">
      <c r="A32" s="156"/>
      <c r="B32" s="156"/>
      <c r="C32" s="156"/>
      <c r="D32" s="108"/>
      <c r="E32" s="160"/>
      <c r="F32" s="156"/>
      <c r="G32" s="156"/>
      <c r="H32" s="156"/>
      <c r="I32" s="156"/>
      <c r="J32" s="156"/>
      <c r="K32" s="156"/>
      <c r="L32" s="156"/>
      <c r="M32" s="156"/>
      <c r="N32" s="156"/>
      <c r="O32" s="157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7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</row>
    <row r="33" spans="1:44" s="155" customFormat="1" ht="27" customHeight="1" thickBot="1">
      <c r="A33" s="156"/>
      <c r="B33" s="156"/>
      <c r="C33" s="156"/>
      <c r="D33" s="108">
        <f>D31+1</f>
        <v>9</v>
      </c>
      <c r="E33" s="159">
        <f>MID($E$15,D33,1)+0</f>
        <v>6</v>
      </c>
      <c r="F33" s="156"/>
      <c r="G33" s="134">
        <f>O31</f>
        <v>1.227876012262312E-06</v>
      </c>
      <c r="H33" s="135" t="s">
        <v>58</v>
      </c>
      <c r="I33" s="136">
        <f>$D$11</f>
        <v>0.9</v>
      </c>
      <c r="J33" s="137" t="s">
        <v>58</v>
      </c>
      <c r="K33" s="138">
        <f>IF($E33=6,$F$11,(1-$F$11)/5)</f>
        <v>0.5</v>
      </c>
      <c r="L33" s="139" t="s">
        <v>46</v>
      </c>
      <c r="M33" s="140">
        <f t="shared" si="0"/>
        <v>5.525442055180404E-07</v>
      </c>
      <c r="N33" s="135"/>
      <c r="O33" s="141">
        <f>SUM(M33,Q33)</f>
        <v>5.618380289771476E-07</v>
      </c>
      <c r="P33" s="142"/>
      <c r="Q33" s="143">
        <f t="shared" si="1"/>
        <v>9.293823459107245E-09</v>
      </c>
      <c r="R33" s="142" t="s">
        <v>47</v>
      </c>
      <c r="S33" s="144">
        <f>IF($E33=6,$F$11,(1-$F$11)/5)</f>
        <v>0.5</v>
      </c>
      <c r="T33" s="142" t="s">
        <v>58</v>
      </c>
      <c r="U33" s="144">
        <f>$D$12</f>
        <v>0.05</v>
      </c>
      <c r="V33" s="135" t="s">
        <v>58</v>
      </c>
      <c r="W33" s="145">
        <f>AG31</f>
        <v>3.7175293836428975E-07</v>
      </c>
      <c r="X33" s="122"/>
      <c r="Y33" s="147">
        <f>O31</f>
        <v>1.227876012262312E-06</v>
      </c>
      <c r="Z33" s="148" t="s">
        <v>58</v>
      </c>
      <c r="AA33" s="138">
        <f>$E$11</f>
        <v>0.09999999999999998</v>
      </c>
      <c r="AB33" s="148" t="s">
        <v>58</v>
      </c>
      <c r="AC33" s="138">
        <f>IF($E33=6,$F$12,(1-$F$12)/5)</f>
        <v>0.16666666666666666</v>
      </c>
      <c r="AD33" s="148" t="s">
        <v>46</v>
      </c>
      <c r="AE33" s="149">
        <f t="shared" si="2"/>
        <v>2.046460020437186E-08</v>
      </c>
      <c r="AF33" s="135"/>
      <c r="AG33" s="141">
        <f>SUM(AE33,AI33)</f>
        <v>7.932548211205106E-08</v>
      </c>
      <c r="AH33" s="142"/>
      <c r="AI33" s="150">
        <f t="shared" si="3"/>
        <v>5.88608819076792E-08</v>
      </c>
      <c r="AJ33" s="139" t="s">
        <v>47</v>
      </c>
      <c r="AK33" s="136">
        <f>IF($E33=6,$F$12,(1-$F$12)/5)</f>
        <v>0.16666666666666666</v>
      </c>
      <c r="AL33" s="137" t="s">
        <v>58</v>
      </c>
      <c r="AM33" s="144">
        <f>$E$12</f>
        <v>0.95</v>
      </c>
      <c r="AN33" s="137" t="s">
        <v>58</v>
      </c>
      <c r="AO33" s="151">
        <f>AG31</f>
        <v>3.7175293836428975E-07</v>
      </c>
      <c r="AP33" s="158"/>
      <c r="AQ33" s="152" t="b">
        <f>IF(ISBLANK(AQ35),O33&gt;AG33,IF(AQ35,M35=O35,AG35=AE35))</f>
        <v>0</v>
      </c>
      <c r="AR33" s="153">
        <f t="shared" si="4"/>
        <v>0.14118923608013292</v>
      </c>
    </row>
    <row r="34" spans="1:44" s="155" customFormat="1" ht="27" customHeight="1" thickBot="1">
      <c r="A34" s="156"/>
      <c r="B34" s="156"/>
      <c r="C34" s="156"/>
      <c r="D34" s="108"/>
      <c r="E34" s="160"/>
      <c r="F34" s="156"/>
      <c r="G34" s="156"/>
      <c r="H34" s="156"/>
      <c r="I34" s="156"/>
      <c r="J34" s="156"/>
      <c r="K34" s="156"/>
      <c r="L34" s="156"/>
      <c r="M34" s="156"/>
      <c r="N34" s="156"/>
      <c r="O34" s="157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7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</row>
    <row r="35" spans="1:44" s="155" customFormat="1" ht="27" customHeight="1" thickBot="1">
      <c r="A35" s="156"/>
      <c r="B35" s="156"/>
      <c r="C35" s="156"/>
      <c r="D35" s="108">
        <f>D33+1</f>
        <v>10</v>
      </c>
      <c r="E35" s="159">
        <f>MID($E$15,D35,1)+0</f>
        <v>6</v>
      </c>
      <c r="F35" s="156"/>
      <c r="G35" s="134">
        <f>O33</f>
        <v>5.618380289771476E-07</v>
      </c>
      <c r="H35" s="135" t="s">
        <v>58</v>
      </c>
      <c r="I35" s="136">
        <f>$D$11</f>
        <v>0.9</v>
      </c>
      <c r="J35" s="137" t="s">
        <v>58</v>
      </c>
      <c r="K35" s="138">
        <f>IF($E35=6,$F$11,(1-$F$11)/5)</f>
        <v>0.5</v>
      </c>
      <c r="L35" s="139" t="s">
        <v>46</v>
      </c>
      <c r="M35" s="140">
        <f t="shared" si="0"/>
        <v>2.5282711303971645E-07</v>
      </c>
      <c r="N35" s="135"/>
      <c r="O35" s="141">
        <f>SUM(M35,Q35)</f>
        <v>2.5481025009251775E-07</v>
      </c>
      <c r="P35" s="142"/>
      <c r="Q35" s="143">
        <f t="shared" si="1"/>
        <v>1.9831370528012766E-09</v>
      </c>
      <c r="R35" s="142" t="s">
        <v>47</v>
      </c>
      <c r="S35" s="144">
        <f>IF($E35=6,$F$11,(1-$F$11)/5)</f>
        <v>0.5</v>
      </c>
      <c r="T35" s="142" t="s">
        <v>58</v>
      </c>
      <c r="U35" s="144">
        <f>$D$12</f>
        <v>0.05</v>
      </c>
      <c r="V35" s="135" t="s">
        <v>58</v>
      </c>
      <c r="W35" s="145">
        <f>AG33</f>
        <v>7.932548211205106E-08</v>
      </c>
      <c r="X35" s="122"/>
      <c r="Y35" s="147">
        <f>O33</f>
        <v>5.618380289771476E-07</v>
      </c>
      <c r="Z35" s="148" t="s">
        <v>58</v>
      </c>
      <c r="AA35" s="138">
        <f>$E$11</f>
        <v>0.09999999999999998</v>
      </c>
      <c r="AB35" s="148" t="s">
        <v>58</v>
      </c>
      <c r="AC35" s="138">
        <f>IF($E35=6,$F$12,(1-$F$12)/5)</f>
        <v>0.16666666666666666</v>
      </c>
      <c r="AD35" s="148" t="s">
        <v>46</v>
      </c>
      <c r="AE35" s="149">
        <f t="shared" si="2"/>
        <v>9.363967149619125E-09</v>
      </c>
      <c r="AF35" s="135"/>
      <c r="AG35" s="141">
        <f>SUM(AE35,AI35)</f>
        <v>2.1923835150693873E-08</v>
      </c>
      <c r="AH35" s="142"/>
      <c r="AI35" s="150">
        <f t="shared" si="3"/>
        <v>1.2559868001074748E-08</v>
      </c>
      <c r="AJ35" s="139" t="s">
        <v>47</v>
      </c>
      <c r="AK35" s="136">
        <f>IF($E35=6,$F$12,(1-$F$12)/5)</f>
        <v>0.16666666666666666</v>
      </c>
      <c r="AL35" s="137" t="s">
        <v>58</v>
      </c>
      <c r="AM35" s="144">
        <f>$E$12</f>
        <v>0.95</v>
      </c>
      <c r="AN35" s="137" t="s">
        <v>58</v>
      </c>
      <c r="AO35" s="151">
        <f>AG33</f>
        <v>7.932548211205106E-08</v>
      </c>
      <c r="AP35" s="158"/>
      <c r="AQ35" s="152" t="b">
        <f>IF(ISBLANK(AQ36),O35&gt;AG35,IF(AQ36,M36=O36,AG36=AE36))</f>
        <v>1</v>
      </c>
      <c r="AR35" s="153">
        <f t="shared" si="4"/>
        <v>0.08603984785829322</v>
      </c>
    </row>
  </sheetData>
  <mergeCells count="3">
    <mergeCell ref="C8:F8"/>
    <mergeCell ref="W13:Y13"/>
    <mergeCell ref="E15:I15"/>
  </mergeCells>
  <conditionalFormatting sqref="Y16:AO16">
    <cfRule type="expression" priority="1" dxfId="0" stopIfTrue="1">
      <formula>$F$29=1</formula>
    </cfRule>
  </conditionalFormatting>
  <conditionalFormatting sqref="G33:W33 G31:W31 G29:W29 G27:W27 G25:W25 G23:W23 G21:W21 G19:W19 G17:W17 G35:W35">
    <cfRule type="expression" priority="2" dxfId="0" stopIfTrue="1">
      <formula>$AQ17</formula>
    </cfRule>
  </conditionalFormatting>
  <conditionalFormatting sqref="Y33:AO33 Y31:AO31 Y29:AO29 Y27:AO27 Y25:AO25 Y23:AO23 Y21:AO21 Y19:AO19 Y17:AO17 Y35:AO35">
    <cfRule type="expression" priority="3" dxfId="0" stopIfTrue="1">
      <formula>NOT($AQ17)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D1">
      <selection activeCell="N22" sqref="N22:N31"/>
    </sheetView>
  </sheetViews>
  <sheetFormatPr defaultColWidth="11.00390625" defaultRowHeight="12.75"/>
  <cols>
    <col min="1" max="1" width="2.75390625" style="103" customWidth="1"/>
    <col min="2" max="2" width="2.375" style="103" customWidth="1"/>
    <col min="3" max="3" width="2.375" style="103" bestFit="1" customWidth="1"/>
    <col min="4" max="4" width="5.375" style="103" bestFit="1" customWidth="1"/>
    <col min="5" max="6" width="4.75390625" style="103" bestFit="1" customWidth="1"/>
    <col min="7" max="7" width="5.25390625" style="107" customWidth="1"/>
    <col min="8" max="8" width="1.25" style="105" customWidth="1"/>
    <col min="9" max="9" width="1.12109375" style="106" customWidth="1"/>
    <col min="10" max="12" width="9.25390625" style="179" bestFit="1" customWidth="1"/>
    <col min="13" max="13" width="9.875" style="179" bestFit="1" customWidth="1"/>
    <col min="14" max="14" width="7.75390625" style="179" bestFit="1" customWidth="1"/>
    <col min="15" max="17" width="9.25390625" style="179" bestFit="1" customWidth="1"/>
    <col min="18" max="18" width="9.875" style="179" bestFit="1" customWidth="1"/>
    <col min="19" max="19" width="10.00390625" style="179" customWidth="1"/>
    <col min="20" max="20" width="1.75390625" style="0" customWidth="1"/>
    <col min="21" max="22" width="9.25390625" style="179" bestFit="1" customWidth="1"/>
    <col min="23" max="23" width="2.375" style="179" customWidth="1"/>
    <col min="24" max="24" width="9.125" style="179" bestFit="1" customWidth="1"/>
    <col min="25" max="16384" width="10.75390625" style="103" customWidth="1"/>
  </cols>
  <sheetData>
    <row r="1" ht="12.75">
      <c r="A1" s="102" t="s">
        <v>31</v>
      </c>
    </row>
    <row r="2" ht="12.75"/>
    <row r="3" ht="12.75">
      <c r="B3" s="103" t="s">
        <v>32</v>
      </c>
    </row>
    <row r="4" ht="12.75">
      <c r="B4" s="103" t="s">
        <v>33</v>
      </c>
    </row>
    <row r="5" ht="12.75">
      <c r="B5" s="103" t="s">
        <v>34</v>
      </c>
    </row>
    <row r="6" ht="12.75">
      <c r="B6" s="103" t="s">
        <v>35</v>
      </c>
    </row>
    <row r="7" ht="12.75"/>
    <row r="8" spans="3:9" ht="13.5" thickBot="1">
      <c r="C8" s="225" t="s">
        <v>19</v>
      </c>
      <c r="D8" s="225"/>
      <c r="E8" s="225"/>
      <c r="F8" s="225"/>
      <c r="H8" s="103"/>
      <c r="I8" s="103"/>
    </row>
    <row r="9" spans="3:24" s="108" customFormat="1" ht="12.75">
      <c r="C9" s="183"/>
      <c r="D9" s="184" t="s">
        <v>60</v>
      </c>
      <c r="E9" s="185" t="s">
        <v>61</v>
      </c>
      <c r="F9" s="186" t="s">
        <v>2</v>
      </c>
      <c r="G9" s="114"/>
      <c r="J9" s="179"/>
      <c r="K9" s="179"/>
      <c r="L9" s="179"/>
      <c r="M9" s="179"/>
      <c r="N9" s="179"/>
      <c r="O9" s="179"/>
      <c r="P9" s="179"/>
      <c r="Q9" s="179"/>
      <c r="R9" s="179"/>
      <c r="S9" s="179"/>
      <c r="T9"/>
      <c r="U9" s="179"/>
      <c r="V9" s="179"/>
      <c r="W9" s="179"/>
      <c r="X9" s="179"/>
    </row>
    <row r="10" spans="3:24" s="108" customFormat="1" ht="12.75">
      <c r="C10" s="187" t="s">
        <v>0</v>
      </c>
      <c r="D10" s="188">
        <v>0.3</v>
      </c>
      <c r="E10" s="189">
        <f>1-D10</f>
        <v>0.7</v>
      </c>
      <c r="F10" s="190"/>
      <c r="G10" s="114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/>
      <c r="U10" s="179"/>
      <c r="V10" s="179"/>
      <c r="W10" s="179"/>
      <c r="X10" s="179"/>
    </row>
    <row r="11" spans="1:24" s="108" customFormat="1" ht="12.75">
      <c r="A11" s="115"/>
      <c r="C11" s="187" t="s">
        <v>60</v>
      </c>
      <c r="D11" s="188">
        <v>0.9</v>
      </c>
      <c r="E11" s="189">
        <f>1-D11</f>
        <v>0.09999999999999998</v>
      </c>
      <c r="F11" s="193">
        <v>0.5</v>
      </c>
      <c r="G11" s="120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/>
      <c r="U11" s="179"/>
      <c r="V11" s="179"/>
      <c r="W11" s="179"/>
      <c r="X11" s="179"/>
    </row>
    <row r="12" spans="1:24" s="108" customFormat="1" ht="13.5" thickBot="1">
      <c r="A12" s="115"/>
      <c r="C12" s="194" t="s">
        <v>61</v>
      </c>
      <c r="D12" s="195">
        <v>0.05</v>
      </c>
      <c r="E12" s="196">
        <f>1-D12</f>
        <v>0.95</v>
      </c>
      <c r="F12" s="197">
        <f>1/6</f>
        <v>0.16666666666666666</v>
      </c>
      <c r="G12" s="120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/>
      <c r="U12" s="179"/>
      <c r="V12" s="179"/>
      <c r="W12" s="179"/>
      <c r="X12" s="179"/>
    </row>
    <row r="13" spans="1:24" s="108" customFormat="1" ht="12.75">
      <c r="A13" s="115"/>
      <c r="C13" s="109"/>
      <c r="D13" s="192"/>
      <c r="E13" s="200"/>
      <c r="F13" s="200"/>
      <c r="G13" s="120"/>
      <c r="H13" s="117"/>
      <c r="I13" s="118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/>
      <c r="U13" s="179"/>
      <c r="V13" s="179"/>
      <c r="W13" s="179"/>
      <c r="X13" s="179"/>
    </row>
    <row r="14" spans="1:24" s="108" customFormat="1" ht="12.75">
      <c r="A14" s="115"/>
      <c r="C14" s="105"/>
      <c r="D14" s="228" t="s">
        <v>36</v>
      </c>
      <c r="E14" s="229"/>
      <c r="F14" s="229"/>
      <c r="G14" s="229"/>
      <c r="H14" s="117"/>
      <c r="I14" s="118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/>
      <c r="U14" s="179"/>
      <c r="V14" s="179"/>
      <c r="W14" s="179"/>
      <c r="X14" s="179"/>
    </row>
    <row r="15" spans="1:20" s="108" customFormat="1" ht="12.75">
      <c r="A15" s="115"/>
      <c r="C15" s="176"/>
      <c r="D15" s="177" t="str">
        <f>D9</f>
        <v>L</v>
      </c>
      <c r="E15" s="177" t="str">
        <f>E9</f>
        <v>F</v>
      </c>
      <c r="F15" s="177" t="str">
        <f>F9</f>
        <v>p(6)</v>
      </c>
      <c r="G15" s="178" t="s">
        <v>37</v>
      </c>
      <c r="H15" s="117"/>
      <c r="I15" s="118"/>
      <c r="J15" s="179"/>
      <c r="K15" s="179"/>
      <c r="L15" s="179"/>
      <c r="T15"/>
    </row>
    <row r="16" spans="1:20" s="108" customFormat="1" ht="12.75">
      <c r="A16" s="115"/>
      <c r="C16" s="191" t="str">
        <f>C10</f>
        <v>B</v>
      </c>
      <c r="D16" s="192">
        <f aca="true" t="shared" si="0" ref="D16:E18">LN(D10)</f>
        <v>-1.2039728043259361</v>
      </c>
      <c r="E16" s="192">
        <f t="shared" si="0"/>
        <v>-0.35667494393873245</v>
      </c>
      <c r="F16" s="192"/>
      <c r="G16" s="109"/>
      <c r="H16" s="117"/>
      <c r="I16" s="118"/>
      <c r="J16" s="179"/>
      <c r="K16" s="179"/>
      <c r="L16" s="179"/>
      <c r="T16"/>
    </row>
    <row r="17" spans="1:20" s="108" customFormat="1" ht="12.75">
      <c r="A17" s="115"/>
      <c r="B17" s="115"/>
      <c r="C17" s="191" t="str">
        <f>C11</f>
        <v>L</v>
      </c>
      <c r="D17" s="192">
        <f t="shared" si="0"/>
        <v>-0.10536051565782628</v>
      </c>
      <c r="E17" s="192">
        <f t="shared" si="0"/>
        <v>-2.302585092994046</v>
      </c>
      <c r="F17" s="192">
        <f>LN(F11)</f>
        <v>-0.6931471805599453</v>
      </c>
      <c r="G17" s="204">
        <f>LN((1-F11)/5)</f>
        <v>-2.3025850929940455</v>
      </c>
      <c r="H17" s="117"/>
      <c r="I17" s="118"/>
      <c r="J17" s="179"/>
      <c r="K17" s="179"/>
      <c r="L17" s="179"/>
      <c r="T17"/>
    </row>
    <row r="18" spans="1:24" s="108" customFormat="1" ht="12.75">
      <c r="A18" s="115"/>
      <c r="B18" s="115"/>
      <c r="C18" s="198" t="str">
        <f>C12</f>
        <v>F</v>
      </c>
      <c r="D18" s="199">
        <f t="shared" si="0"/>
        <v>-2.995732273553991</v>
      </c>
      <c r="E18" s="199">
        <f t="shared" si="0"/>
        <v>-0.05129329438755058</v>
      </c>
      <c r="F18" s="199">
        <f>LN(F12)</f>
        <v>-1.791759469228055</v>
      </c>
      <c r="G18" s="205">
        <f>LN((1-F12)/5)</f>
        <v>-1.791759469228055</v>
      </c>
      <c r="H18" s="117"/>
      <c r="I18" s="11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/>
      <c r="U18" s="179" t="s">
        <v>41</v>
      </c>
      <c r="V18" s="179"/>
      <c r="W18" s="179"/>
      <c r="X18" s="179"/>
    </row>
    <row r="19" spans="1:24" s="108" customFormat="1" ht="12.75">
      <c r="A19" s="115"/>
      <c r="B19" s="115"/>
      <c r="C19" s="109"/>
      <c r="D19" s="192"/>
      <c r="E19" s="192"/>
      <c r="F19" s="192"/>
      <c r="G19" s="204"/>
      <c r="H19" s="117"/>
      <c r="I19" s="118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/>
      <c r="U19" s="179"/>
      <c r="V19" s="179"/>
      <c r="W19" s="179"/>
      <c r="X19" s="179"/>
    </row>
    <row r="20" spans="1:24" s="202" customFormat="1" ht="12.75">
      <c r="A20" s="124"/>
      <c r="B20" s="124"/>
      <c r="C20" s="115"/>
      <c r="D20" s="201" t="s">
        <v>39</v>
      </c>
      <c r="E20" s="226" t="s">
        <v>40</v>
      </c>
      <c r="F20" s="227"/>
      <c r="G20" s="227"/>
      <c r="H20" s="227"/>
      <c r="I20" s="227"/>
      <c r="J20" s="179"/>
      <c r="K20" s="179"/>
      <c r="L20" s="179"/>
      <c r="M20" s="179" t="str">
        <f>D9</f>
        <v>L</v>
      </c>
      <c r="N20" s="179"/>
      <c r="O20" s="179"/>
      <c r="P20" s="179"/>
      <c r="Q20" s="179"/>
      <c r="R20" s="179" t="str">
        <f>E9</f>
        <v>F</v>
      </c>
      <c r="S20" s="179" t="s">
        <v>38</v>
      </c>
      <c r="T20"/>
      <c r="U20" s="179" t="str">
        <f>M20</f>
        <v>L</v>
      </c>
      <c r="V20" s="179" t="str">
        <f>R20</f>
        <v>F</v>
      </c>
      <c r="W20" s="179"/>
      <c r="X20" s="179" t="s">
        <v>13</v>
      </c>
    </row>
    <row r="21" spans="1:24" s="108" customFormat="1" ht="13.5" thickBot="1">
      <c r="A21" s="115"/>
      <c r="B21" s="115"/>
      <c r="C21" s="115"/>
      <c r="D21" s="115"/>
      <c r="E21" s="110"/>
      <c r="F21" s="115"/>
      <c r="G21" s="114"/>
      <c r="H21" s="109"/>
      <c r="I21" s="112"/>
      <c r="J21" s="179" t="s">
        <v>27</v>
      </c>
      <c r="K21" s="179" t="s">
        <v>29</v>
      </c>
      <c r="L21" s="179" t="s">
        <v>28</v>
      </c>
      <c r="M21" s="182" t="s">
        <v>42</v>
      </c>
      <c r="N21" s="179"/>
      <c r="O21" s="179" t="s">
        <v>27</v>
      </c>
      <c r="P21" s="179" t="s">
        <v>29</v>
      </c>
      <c r="Q21" s="179" t="s">
        <v>28</v>
      </c>
      <c r="R21" s="180" t="s">
        <v>42</v>
      </c>
      <c r="S21" s="179"/>
      <c r="T21"/>
      <c r="U21" s="179" t="s">
        <v>30</v>
      </c>
      <c r="V21" s="179" t="s">
        <v>30</v>
      </c>
      <c r="W21" s="179"/>
      <c r="X21" s="179"/>
    </row>
    <row r="22" spans="1:24" s="156" customFormat="1" ht="13.5" thickBot="1">
      <c r="A22" s="133"/>
      <c r="B22" s="133"/>
      <c r="C22" s="133"/>
      <c r="D22" s="128">
        <v>1</v>
      </c>
      <c r="E22" s="203">
        <f aca="true" t="shared" si="1" ref="E22:E31">MID($E$20,D22,1)+0</f>
        <v>1</v>
      </c>
      <c r="F22" s="133"/>
      <c r="G22" s="103"/>
      <c r="H22" s="103"/>
      <c r="J22" s="181">
        <f>IF($E22=6,$F$17,$G$17)</f>
        <v>-2.3025850929940455</v>
      </c>
      <c r="K22" s="181">
        <f>D16+J22</f>
        <v>-3.506557897319982</v>
      </c>
      <c r="L22" s="181"/>
      <c r="M22" s="182">
        <f>K22</f>
        <v>-3.506557897319982</v>
      </c>
      <c r="N22" s="181">
        <f>EXP(M22)</f>
        <v>0.029999999999999995</v>
      </c>
      <c r="O22" s="181">
        <f>IF(E22=6,$F$18,$G$18)</f>
        <v>-1.791759469228055</v>
      </c>
      <c r="P22" s="181"/>
      <c r="Q22" s="181">
        <f>O22+E16</f>
        <v>-2.1484344131667874</v>
      </c>
      <c r="R22" s="182">
        <f>Q22</f>
        <v>-2.1484344131667874</v>
      </c>
      <c r="S22" s="181" t="b">
        <f>IF(ISBLANK(S23),M22&gt;R22,IF(S23,K23=M23,R23=P23))</f>
        <v>0</v>
      </c>
      <c r="T22"/>
      <c r="U22" s="181">
        <f>SUM(L22:M22)</f>
        <v>-3.506557897319982</v>
      </c>
      <c r="V22" s="181">
        <f>SUM(P22:Q22)</f>
        <v>-2.1484344131667874</v>
      </c>
      <c r="W22" s="181"/>
      <c r="X22" s="206">
        <f>EXP(R22-M22)</f>
        <v>3.8888888888888893</v>
      </c>
    </row>
    <row r="23" spans="4:24" s="156" customFormat="1" ht="13.5" thickBot="1">
      <c r="D23" s="108">
        <f aca="true" t="shared" si="2" ref="D23:D31">D22+1</f>
        <v>2</v>
      </c>
      <c r="E23" s="203">
        <f t="shared" si="1"/>
        <v>1</v>
      </c>
      <c r="F23" s="133"/>
      <c r="G23" s="103"/>
      <c r="H23" s="103"/>
      <c r="J23" s="181">
        <f>IF($E23=6,$F$17,$G$17)</f>
        <v>-2.3025850929940455</v>
      </c>
      <c r="K23" s="181">
        <f>J23+M22+$D$17</f>
        <v>-5.914503505971854</v>
      </c>
      <c r="L23" s="181">
        <f>J23+R22+$D$18</f>
        <v>-7.446751779714823</v>
      </c>
      <c r="M23" s="182">
        <f>MAX(K23:L23)</f>
        <v>-5.914503505971854</v>
      </c>
      <c r="N23" s="181">
        <f aca="true" t="shared" si="3" ref="N23:N31">EXP(M23)</f>
        <v>0.0027</v>
      </c>
      <c r="O23" s="181">
        <f>IF(E23=6,$F$18,$G$18)</f>
        <v>-1.791759469228055</v>
      </c>
      <c r="P23" s="181">
        <f>O23+M22+$E$17</f>
        <v>-7.600902459542083</v>
      </c>
      <c r="Q23" s="181">
        <f>O23+R22+$E$18</f>
        <v>-3.991487176782393</v>
      </c>
      <c r="R23" s="182">
        <f>MAX(P23:Q23)</f>
        <v>-3.991487176782393</v>
      </c>
      <c r="S23" s="181" t="b">
        <f>IF(ISBLANK(S24),M23&gt;R23,IF(S24,K24=M24,R24=P24))</f>
        <v>0</v>
      </c>
      <c r="T23"/>
      <c r="U23" s="181">
        <f>SUM(L23:M23)</f>
        <v>-13.361255285686678</v>
      </c>
      <c r="V23" s="181">
        <f>SUM(P23:Q23)</f>
        <v>-11.592389636324476</v>
      </c>
      <c r="W23" s="181"/>
      <c r="X23" s="206">
        <f>EXP(R23-M23)</f>
        <v>6.84156378600823</v>
      </c>
    </row>
    <row r="24" spans="4:24" s="156" customFormat="1" ht="13.5" thickBot="1">
      <c r="D24" s="108">
        <f t="shared" si="2"/>
        <v>3</v>
      </c>
      <c r="E24" s="203">
        <f t="shared" si="1"/>
        <v>1</v>
      </c>
      <c r="G24" s="103"/>
      <c r="H24" s="103"/>
      <c r="J24" s="181">
        <f aca="true" t="shared" si="4" ref="J24:J31">IF($E24=6,$F$17,$G$17)</f>
        <v>-2.3025850929940455</v>
      </c>
      <c r="K24" s="181">
        <f aca="true" t="shared" si="5" ref="K24:K31">J24+M23+$D$17</f>
        <v>-8.322449114623726</v>
      </c>
      <c r="L24" s="181">
        <f aca="true" t="shared" si="6" ref="L24:L31">J24+R23+$D$18</f>
        <v>-9.28980454333043</v>
      </c>
      <c r="M24" s="182">
        <f aca="true" t="shared" si="7" ref="M24:M31">MAX(K24:L24)</f>
        <v>-8.322449114623726</v>
      </c>
      <c r="N24" s="181">
        <f t="shared" si="3"/>
        <v>0.00024299999999999984</v>
      </c>
      <c r="O24" s="181">
        <f aca="true" t="shared" si="8" ref="O24:O31">IF(E24=6,$F$18,$G$18)</f>
        <v>-1.791759469228055</v>
      </c>
      <c r="P24" s="181">
        <f aca="true" t="shared" si="9" ref="P24:P31">O24+M23+$E$17</f>
        <v>-10.008848068193956</v>
      </c>
      <c r="Q24" s="181">
        <f aca="true" t="shared" si="10" ref="Q24:Q31">O24+R23+$E$18</f>
        <v>-5.834539940397998</v>
      </c>
      <c r="R24" s="182">
        <f aca="true" t="shared" si="11" ref="R24:R31">MAX(P24:Q24)</f>
        <v>-5.834539940397998</v>
      </c>
      <c r="S24" s="181" t="b">
        <f aca="true" t="shared" si="12" ref="S24:S31">IF(ISBLANK(S25),M24&gt;R24,IF(S25,K25=M25,R25=P25))</f>
        <v>0</v>
      </c>
      <c r="T24"/>
      <c r="U24" s="181">
        <f aca="true" t="shared" si="13" ref="U24:U31">SUM(L24:M24)</f>
        <v>-17.612253657954156</v>
      </c>
      <c r="V24" s="181">
        <f aca="true" t="shared" si="14" ref="V24:V31">SUM(P24:Q24)</f>
        <v>-15.843388008591955</v>
      </c>
      <c r="W24" s="181"/>
      <c r="X24" s="206">
        <f aca="true" t="shared" si="15" ref="X24:X31">EXP(R24-M24)</f>
        <v>12.036084438347824</v>
      </c>
    </row>
    <row r="25" spans="4:24" s="156" customFormat="1" ht="13.5" thickBot="1">
      <c r="D25" s="108">
        <f t="shared" si="2"/>
        <v>4</v>
      </c>
      <c r="E25" s="203">
        <f t="shared" si="1"/>
        <v>1</v>
      </c>
      <c r="G25" s="103"/>
      <c r="H25" s="103"/>
      <c r="J25" s="181">
        <f t="shared" si="4"/>
        <v>-2.3025850929940455</v>
      </c>
      <c r="K25" s="181">
        <f t="shared" si="5"/>
        <v>-10.730394723275598</v>
      </c>
      <c r="L25" s="181">
        <f t="shared" si="6"/>
        <v>-11.132857306946034</v>
      </c>
      <c r="M25" s="182">
        <f t="shared" si="7"/>
        <v>-10.730394723275598</v>
      </c>
      <c r="N25" s="181">
        <f t="shared" si="3"/>
        <v>2.186999999999999E-05</v>
      </c>
      <c r="O25" s="181">
        <f t="shared" si="8"/>
        <v>-1.791759469228055</v>
      </c>
      <c r="P25" s="181">
        <f t="shared" si="9"/>
        <v>-12.416793676845828</v>
      </c>
      <c r="Q25" s="181">
        <f t="shared" si="10"/>
        <v>-7.677592704013604</v>
      </c>
      <c r="R25" s="182">
        <f t="shared" si="11"/>
        <v>-7.677592704013604</v>
      </c>
      <c r="S25" s="181" t="b">
        <f t="shared" si="12"/>
        <v>0</v>
      </c>
      <c r="T25"/>
      <c r="U25" s="181">
        <f t="shared" si="13"/>
        <v>-21.86325203022163</v>
      </c>
      <c r="V25" s="181">
        <f t="shared" si="14"/>
        <v>-20.094386380859433</v>
      </c>
      <c r="W25" s="181"/>
      <c r="X25" s="206">
        <f t="shared" si="15"/>
        <v>21.174592993389687</v>
      </c>
    </row>
    <row r="26" spans="4:24" s="156" customFormat="1" ht="13.5" thickBot="1">
      <c r="D26" s="108">
        <f t="shared" si="2"/>
        <v>5</v>
      </c>
      <c r="E26" s="203">
        <f t="shared" si="1"/>
        <v>1</v>
      </c>
      <c r="G26" s="103"/>
      <c r="H26" s="103"/>
      <c r="J26" s="181">
        <f t="shared" si="4"/>
        <v>-2.3025850929940455</v>
      </c>
      <c r="K26" s="181">
        <f t="shared" si="5"/>
        <v>-13.13834033192747</v>
      </c>
      <c r="L26" s="181">
        <f t="shared" si="6"/>
        <v>-12.975910070561639</v>
      </c>
      <c r="M26" s="182">
        <f t="shared" si="7"/>
        <v>-12.975910070561639</v>
      </c>
      <c r="N26" s="181">
        <f t="shared" si="3"/>
        <v>2.3154417438271643E-06</v>
      </c>
      <c r="O26" s="181">
        <f t="shared" si="8"/>
        <v>-1.791759469228055</v>
      </c>
      <c r="P26" s="181">
        <f t="shared" si="9"/>
        <v>-14.8247392854977</v>
      </c>
      <c r="Q26" s="181">
        <f t="shared" si="10"/>
        <v>-9.520645467629208</v>
      </c>
      <c r="R26" s="182">
        <f t="shared" si="11"/>
        <v>-9.520645467629208</v>
      </c>
      <c r="S26" s="181" t="b">
        <f t="shared" si="12"/>
        <v>0</v>
      </c>
      <c r="T26"/>
      <c r="U26" s="181">
        <f t="shared" si="13"/>
        <v>-25.951820141123278</v>
      </c>
      <c r="V26" s="181">
        <f t="shared" si="14"/>
        <v>-24.345384753126908</v>
      </c>
      <c r="W26" s="181"/>
      <c r="X26" s="206">
        <f t="shared" si="15"/>
        <v>31.666666666666654</v>
      </c>
    </row>
    <row r="27" spans="4:24" s="156" customFormat="1" ht="13.5" thickBot="1">
      <c r="D27" s="108">
        <f t="shared" si="2"/>
        <v>6</v>
      </c>
      <c r="E27" s="203">
        <f t="shared" si="1"/>
        <v>6</v>
      </c>
      <c r="G27" s="103"/>
      <c r="H27" s="103"/>
      <c r="J27" s="181">
        <f t="shared" si="4"/>
        <v>-0.6931471805599453</v>
      </c>
      <c r="K27" s="181">
        <f t="shared" si="5"/>
        <v>-13.774417766779411</v>
      </c>
      <c r="L27" s="181">
        <f t="shared" si="6"/>
        <v>-13.209524921743144</v>
      </c>
      <c r="M27" s="182">
        <f t="shared" si="7"/>
        <v>-13.209524921743144</v>
      </c>
      <c r="N27" s="181">
        <f t="shared" si="3"/>
        <v>1.8330580471965053E-06</v>
      </c>
      <c r="O27" s="181">
        <f t="shared" si="8"/>
        <v>-1.791759469228055</v>
      </c>
      <c r="P27" s="181">
        <f t="shared" si="9"/>
        <v>-17.07025463278374</v>
      </c>
      <c r="Q27" s="181">
        <f t="shared" si="10"/>
        <v>-11.363698231244813</v>
      </c>
      <c r="R27" s="182">
        <f t="shared" si="11"/>
        <v>-11.363698231244813</v>
      </c>
      <c r="S27" s="181" t="b">
        <f t="shared" si="12"/>
        <v>1</v>
      </c>
      <c r="T27"/>
      <c r="U27" s="181">
        <f t="shared" si="13"/>
        <v>-26.419049843486288</v>
      </c>
      <c r="V27" s="181">
        <f t="shared" si="14"/>
        <v>-28.433952864028555</v>
      </c>
      <c r="W27" s="181"/>
      <c r="X27" s="206">
        <f t="shared" si="15"/>
        <v>6.333333333333336</v>
      </c>
    </row>
    <row r="28" spans="4:24" s="156" customFormat="1" ht="13.5" thickBot="1">
      <c r="D28" s="108">
        <f t="shared" si="2"/>
        <v>7</v>
      </c>
      <c r="E28" s="203">
        <f t="shared" si="1"/>
        <v>6</v>
      </c>
      <c r="G28" s="103"/>
      <c r="H28" s="103"/>
      <c r="J28" s="181">
        <f t="shared" si="4"/>
        <v>-0.6931471805599453</v>
      </c>
      <c r="K28" s="181">
        <f t="shared" si="5"/>
        <v>-14.008032617960916</v>
      </c>
      <c r="L28" s="181">
        <f t="shared" si="6"/>
        <v>-15.052577685358749</v>
      </c>
      <c r="M28" s="182">
        <f t="shared" si="7"/>
        <v>-14.008032617960916</v>
      </c>
      <c r="N28" s="181">
        <f t="shared" si="3"/>
        <v>8.248761212384269E-07</v>
      </c>
      <c r="O28" s="181">
        <f t="shared" si="8"/>
        <v>-1.791759469228055</v>
      </c>
      <c r="P28" s="181">
        <f t="shared" si="9"/>
        <v>-17.303869483965244</v>
      </c>
      <c r="Q28" s="181">
        <f t="shared" si="10"/>
        <v>-13.206750994860418</v>
      </c>
      <c r="R28" s="182">
        <f t="shared" si="11"/>
        <v>-13.206750994860418</v>
      </c>
      <c r="S28" s="181" t="b">
        <f t="shared" si="12"/>
        <v>1</v>
      </c>
      <c r="T28"/>
      <c r="U28" s="181">
        <f t="shared" si="13"/>
        <v>-29.060610303319663</v>
      </c>
      <c r="V28" s="181">
        <f t="shared" si="14"/>
        <v>-30.51062047882566</v>
      </c>
      <c r="W28" s="181"/>
      <c r="X28" s="206">
        <f t="shared" si="15"/>
        <v>2.228395061728399</v>
      </c>
    </row>
    <row r="29" spans="4:24" s="156" customFormat="1" ht="13.5" thickBot="1">
      <c r="D29" s="108">
        <f t="shared" si="2"/>
        <v>8</v>
      </c>
      <c r="E29" s="203">
        <f t="shared" si="1"/>
        <v>6</v>
      </c>
      <c r="G29" s="103"/>
      <c r="H29" s="103"/>
      <c r="J29" s="181">
        <f t="shared" si="4"/>
        <v>-0.6931471805599453</v>
      </c>
      <c r="K29" s="181">
        <f t="shared" si="5"/>
        <v>-14.806540314178688</v>
      </c>
      <c r="L29" s="181">
        <f t="shared" si="6"/>
        <v>-16.895630448974355</v>
      </c>
      <c r="M29" s="182">
        <f t="shared" si="7"/>
        <v>-14.806540314178688</v>
      </c>
      <c r="N29" s="181">
        <f t="shared" si="3"/>
        <v>3.711942545572919E-07</v>
      </c>
      <c r="O29" s="181">
        <f t="shared" si="8"/>
        <v>-1.791759469228055</v>
      </c>
      <c r="P29" s="181">
        <f t="shared" si="9"/>
        <v>-18.102377180183016</v>
      </c>
      <c r="Q29" s="181">
        <f t="shared" si="10"/>
        <v>-15.049803758476022</v>
      </c>
      <c r="R29" s="182">
        <f t="shared" si="11"/>
        <v>-15.049803758476022</v>
      </c>
      <c r="S29" s="181" t="b">
        <f t="shared" si="12"/>
        <v>1</v>
      </c>
      <c r="T29"/>
      <c r="U29" s="181">
        <f t="shared" si="13"/>
        <v>-31.702170763153042</v>
      </c>
      <c r="V29" s="181">
        <f t="shared" si="14"/>
        <v>-33.152180938659036</v>
      </c>
      <c r="W29" s="181"/>
      <c r="X29" s="206">
        <f t="shared" si="15"/>
        <v>0.78406492912666</v>
      </c>
    </row>
    <row r="30" spans="4:24" s="156" customFormat="1" ht="13.5" thickBot="1">
      <c r="D30" s="108">
        <f t="shared" si="2"/>
        <v>9</v>
      </c>
      <c r="E30" s="203">
        <f t="shared" si="1"/>
        <v>6</v>
      </c>
      <c r="G30" s="103"/>
      <c r="H30" s="103"/>
      <c r="J30" s="181">
        <f t="shared" si="4"/>
        <v>-0.6931471805599453</v>
      </c>
      <c r="K30" s="181">
        <f t="shared" si="5"/>
        <v>-15.60504801039646</v>
      </c>
      <c r="L30" s="181">
        <f t="shared" si="6"/>
        <v>-18.738683212589958</v>
      </c>
      <c r="M30" s="182">
        <f t="shared" si="7"/>
        <v>-15.60504801039646</v>
      </c>
      <c r="N30" s="181">
        <f t="shared" si="3"/>
        <v>1.6703741455078125E-07</v>
      </c>
      <c r="O30" s="181">
        <f t="shared" si="8"/>
        <v>-1.791759469228055</v>
      </c>
      <c r="P30" s="181">
        <f t="shared" si="9"/>
        <v>-18.90088487640079</v>
      </c>
      <c r="Q30" s="181">
        <f t="shared" si="10"/>
        <v>-16.89285652209163</v>
      </c>
      <c r="R30" s="182">
        <f t="shared" si="11"/>
        <v>-16.89285652209163</v>
      </c>
      <c r="S30" s="181" t="b">
        <f t="shared" si="12"/>
        <v>1</v>
      </c>
      <c r="T30"/>
      <c r="U30" s="181">
        <f t="shared" si="13"/>
        <v>-34.34373122298642</v>
      </c>
      <c r="V30" s="181">
        <f t="shared" si="14"/>
        <v>-35.79374139849242</v>
      </c>
      <c r="W30" s="181"/>
      <c r="X30" s="206">
        <f t="shared" si="15"/>
        <v>0.2758746972853057</v>
      </c>
    </row>
    <row r="31" spans="4:24" s="156" customFormat="1" ht="13.5" thickBot="1">
      <c r="D31" s="108">
        <f t="shared" si="2"/>
        <v>10</v>
      </c>
      <c r="E31" s="203">
        <f t="shared" si="1"/>
        <v>6</v>
      </c>
      <c r="G31" s="103"/>
      <c r="H31" s="103"/>
      <c r="J31" s="181">
        <f t="shared" si="4"/>
        <v>-0.6931471805599453</v>
      </c>
      <c r="K31" s="181">
        <f t="shared" si="5"/>
        <v>-16.40355570661423</v>
      </c>
      <c r="L31" s="181">
        <f t="shared" si="6"/>
        <v>-20.581735976205564</v>
      </c>
      <c r="M31" s="182">
        <f t="shared" si="7"/>
        <v>-16.40355570661423</v>
      </c>
      <c r="N31" s="181">
        <f t="shared" si="3"/>
        <v>7.516683654785166E-08</v>
      </c>
      <c r="O31" s="181">
        <f t="shared" si="8"/>
        <v>-1.791759469228055</v>
      </c>
      <c r="P31" s="181">
        <f t="shared" si="9"/>
        <v>-19.699392572618564</v>
      </c>
      <c r="Q31" s="181">
        <f t="shared" si="10"/>
        <v>-18.735909285707237</v>
      </c>
      <c r="R31" s="182">
        <f t="shared" si="11"/>
        <v>-18.735909285707237</v>
      </c>
      <c r="S31" s="181" t="b">
        <f t="shared" si="12"/>
        <v>1</v>
      </c>
      <c r="T31"/>
      <c r="U31" s="181">
        <f t="shared" si="13"/>
        <v>-36.98529168281979</v>
      </c>
      <c r="V31" s="181">
        <f t="shared" si="14"/>
        <v>-38.4353018583258</v>
      </c>
      <c r="W31" s="181"/>
      <c r="X31" s="206">
        <f t="shared" si="15"/>
        <v>0.09706702311890367</v>
      </c>
    </row>
    <row r="32" spans="7:9" ht="12.75">
      <c r="G32" s="103"/>
      <c r="H32" s="103"/>
      <c r="I32" s="103"/>
    </row>
    <row r="33" spans="7:9" ht="12.75">
      <c r="G33" s="103"/>
      <c r="H33" s="103"/>
      <c r="I33" s="103"/>
    </row>
    <row r="34" spans="7:9" ht="12.75">
      <c r="G34" s="103"/>
      <c r="H34" s="103"/>
      <c r="I34" s="103"/>
    </row>
    <row r="35" spans="7:9" ht="12.75">
      <c r="G35" s="103"/>
      <c r="H35" s="103"/>
      <c r="I35" s="103"/>
    </row>
    <row r="36" spans="7:9" ht="12.75">
      <c r="G36" s="103"/>
      <c r="H36" s="103"/>
      <c r="I36" s="103"/>
    </row>
    <row r="37" spans="7:9" ht="12.75">
      <c r="G37" s="103"/>
      <c r="H37" s="103"/>
      <c r="I37" s="103"/>
    </row>
    <row r="38" spans="7:9" ht="12.75">
      <c r="G38" s="103"/>
      <c r="H38" s="103"/>
      <c r="I38" s="103"/>
    </row>
    <row r="39" spans="7:9" ht="12.75">
      <c r="G39" s="103"/>
      <c r="H39" s="103"/>
      <c r="I39" s="103"/>
    </row>
  </sheetData>
  <mergeCells count="3">
    <mergeCell ref="C8:F8"/>
    <mergeCell ref="E20:I20"/>
    <mergeCell ref="D14:G14"/>
  </mergeCells>
  <conditionalFormatting sqref="V21:W21 O21:R21">
    <cfRule type="expression" priority="1" dxfId="0" stopIfTrue="1">
      <formula>$F$34=1</formula>
    </cfRule>
  </conditionalFormatting>
  <conditionalFormatting sqref="M21:M31 K22:L22">
    <cfRule type="expression" priority="2" dxfId="0" stopIfTrue="1">
      <formula>$S21</formula>
    </cfRule>
  </conditionalFormatting>
  <conditionalFormatting sqref="R22:R31">
    <cfRule type="expression" priority="3" dxfId="0" stopIfTrue="1">
      <formula>NOT($S22)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"Casino" Viterbi Example</dc:title>
  <dc:subject/>
  <dc:creator>W.L. Ruzzo</dc:creator>
  <cp:keywords/>
  <dc:description/>
  <cp:lastModifiedBy>Walter L. Ruzzo</cp:lastModifiedBy>
  <dcterms:created xsi:type="dcterms:W3CDTF">2006-07-31T01:22:44Z</dcterms:created>
  <dcterms:modified xsi:type="dcterms:W3CDTF">2009-11-04T17:18:21Z</dcterms:modified>
  <cp:category/>
  <cp:version/>
  <cp:contentType/>
  <cp:contentStatus/>
</cp:coreProperties>
</file>